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045" tabRatio="597" firstSheet="26" activeTab="26"/>
  </bookViews>
  <sheets>
    <sheet name="งบทดลอง-หลัง" sheetId="1" r:id="rId1"/>
    <sheet name="รายละเอียดรายรับ" sheetId="2" r:id="rId2"/>
    <sheet name="งบรับจ่าย-ตามงบ" sheetId="3" r:id="rId3"/>
    <sheet name="2" sheetId="4" r:id="rId4"/>
    <sheet name="งบแสดงฐานะการเงิน" sheetId="5" r:id="rId5"/>
    <sheet name="หมายเหตุ 1" sheetId="6" r:id="rId6"/>
    <sheet name="หมายเหตุ2" sheetId="7" r:id="rId7"/>
    <sheet name="หมายเหตุ 4" sheetId="8" r:id="rId8"/>
    <sheet name="หมายเหตุ 5" sheetId="9" r:id="rId9"/>
    <sheet name="หมายเหตุ 7" sheetId="10" r:id="rId10"/>
    <sheet name="ทส1" sheetId="11" r:id="rId11"/>
    <sheet name="สะสม 8" sheetId="12" r:id="rId12"/>
    <sheet name="ผลการดำเนิน" sheetId="13" r:id="rId13"/>
    <sheet name="แผนงานรวม" sheetId="14" r:id="rId14"/>
    <sheet name="ตามแผนงาน 1" sheetId="15" r:id="rId15"/>
    <sheet name="ตามแผนงาน2" sheetId="16" r:id="rId16"/>
    <sheet name="ตามแผนงาน3" sheetId="17" r:id="rId17"/>
    <sheet name="ตามแผนงาน4" sheetId="18" r:id="rId18"/>
    <sheet name="ตามแผนงาน5" sheetId="19" r:id="rId19"/>
    <sheet name="ตามแผนงาน6" sheetId="20" r:id="rId20"/>
    <sheet name="ตามแผนงาน7" sheetId="21" r:id="rId21"/>
    <sheet name="ตามแผนงาน8" sheetId="22" r:id="rId22"/>
    <sheet name="ตามแผนงาน 9" sheetId="23" r:id="rId23"/>
    <sheet name="ตามแผนงาน 10" sheetId="24" r:id="rId24"/>
    <sheet name="ค่าที่ดิน" sheetId="25" r:id="rId25"/>
    <sheet name="ผลการดำเนินงาน" sheetId="26" r:id="rId26"/>
    <sheet name="จ่ายจากเงินสะสม" sheetId="27" r:id="rId27"/>
  </sheets>
  <definedNames/>
  <calcPr fullCalcOnLoad="1"/>
</workbook>
</file>

<file path=xl/sharedStrings.xml><?xml version="1.0" encoding="utf-8"?>
<sst xmlns="http://schemas.openxmlformats.org/spreadsheetml/2006/main" count="3006" uniqueCount="1325">
  <si>
    <t>พร้อมติดตั้งอุปกรณ์ครบชุด</t>
  </si>
  <si>
    <t>ศาลาเอนกประสงค์ประจำ</t>
  </si>
  <si>
    <t>หมู่ที่ 6</t>
  </si>
  <si>
    <t>หมู่บ้าน  ขนาดกว้าง 6 เมตร</t>
  </si>
  <si>
    <t>ยาว 12 เมตร</t>
  </si>
  <si>
    <t>หมู่ที่ 12</t>
  </si>
  <si>
    <t>400 44 0018-19</t>
  </si>
  <si>
    <t>โต๊ะทำงานระดับ 3-6  พร้อม</t>
  </si>
  <si>
    <t>สนง.ปลัด</t>
  </si>
  <si>
    <t>ส่วนการคลัง</t>
  </si>
  <si>
    <t>406 44 0010-13</t>
  </si>
  <si>
    <t>086 44 0001</t>
  </si>
  <si>
    <t>ล้อวัดระยะทาง วงล้อขนาด</t>
  </si>
  <si>
    <t xml:space="preserve">เส้าผ่าศูนย์กลาง 30 ซม. </t>
  </si>
  <si>
    <t>มีด้ามจับแบบล็อคเก็บได้</t>
  </si>
  <si>
    <t>หมู่ที่ 8</t>
  </si>
  <si>
    <t>หมู่ที่ 9</t>
  </si>
  <si>
    <t>452 45 0002</t>
  </si>
  <si>
    <t>กล้องถ่ายรูปอัตโนมัติ เลนส์</t>
  </si>
  <si>
    <t>ครุภัณฑ์การศึกษา</t>
  </si>
  <si>
    <t>สิ้นงวดปีงบประมาณ พ.ศ. 2554</t>
  </si>
  <si>
    <t>406 54 21-22</t>
  </si>
  <si>
    <t>14 ก.ย 54</t>
  </si>
  <si>
    <t>คลัง</t>
  </si>
  <si>
    <t>00345/54</t>
  </si>
  <si>
    <t>14/54</t>
  </si>
  <si>
    <t>17 ม.ค 54</t>
  </si>
  <si>
    <t>417 54 0002</t>
  </si>
  <si>
    <t>21 ก.พ 54</t>
  </si>
  <si>
    <t>001102/54</t>
  </si>
  <si>
    <t>กล่องมหาสหนุก (ชุด)</t>
  </si>
  <si>
    <t xml:space="preserve">กล่องมหาสหนุก </t>
  </si>
  <si>
    <t>14 ธ.ค 53</t>
  </si>
  <si>
    <t>00215/54</t>
  </si>
  <si>
    <t>หอคอยลูกแก้ว</t>
  </si>
  <si>
    <t>หอคอยลูกแก้ว(ชุด)</t>
  </si>
  <si>
    <t>ทะเลปัง/</t>
  </si>
  <si>
    <t>วัดหัวลำภู</t>
  </si>
  <si>
    <t>ลูกโลกอวกาศ</t>
  </si>
  <si>
    <t>บ้านนักประดิษฐ์</t>
  </si>
  <si>
    <t>เมืองแห่งอนาคต</t>
  </si>
  <si>
    <t>แมลงจอมขยัน</t>
  </si>
  <si>
    <t>ตู้เล่นอเนกประสงค์</t>
  </si>
  <si>
    <t>ชั้นวางหนังสือใต้ทะเล</t>
  </si>
  <si>
    <t>เก้าอี้ไม้แมลงน่ารัก(1ชุดมี 4 ตัว)</t>
  </si>
  <si>
    <t>ซุปเปอร์ฟัน</t>
  </si>
  <si>
    <t>สไลด์แอนด์สวิง</t>
  </si>
  <si>
    <t>ชุดกระดานลื่น</t>
  </si>
  <si>
    <t>ท่อคลานมหาสนุก</t>
  </si>
  <si>
    <t>โต๊ะช้างน้อย</t>
  </si>
  <si>
    <t>โยกเยกฉลามน้อย</t>
  </si>
  <si>
    <t>บ้านอุโมงค์</t>
  </si>
  <si>
    <t>900  53 0001-3</t>
  </si>
  <si>
    <t>1000  53 0001-7</t>
  </si>
  <si>
    <t>1001 53 0001-7</t>
  </si>
  <si>
    <t>สนามแข่งขันลูกบอลมหัศจรรย์</t>
  </si>
  <si>
    <t>1002 53 0001-3</t>
  </si>
  <si>
    <t>1003 53 0001-3</t>
  </si>
  <si>
    <t>1004 53 0001-5</t>
  </si>
  <si>
    <t>1006 53 0001-3</t>
  </si>
  <si>
    <t>1007 53 0001-3</t>
  </si>
  <si>
    <t>บ้านคุณหนู 1(sweet Home)</t>
  </si>
  <si>
    <t>บ้านคุณหนู 1(Home  sweet Home)</t>
  </si>
  <si>
    <t>1008 53 0001-3</t>
  </si>
  <si>
    <t>1009 53 0001-2</t>
  </si>
  <si>
    <t>1005 53 0001-5</t>
  </si>
  <si>
    <t>1010 53 0001-2</t>
  </si>
  <si>
    <t>1011 53 0001</t>
  </si>
  <si>
    <t>ทะเลปัง</t>
  </si>
  <si>
    <t>ซุปเปอร์ฟัน (superfun)</t>
  </si>
  <si>
    <t>1012 53 0001-2</t>
  </si>
  <si>
    <t>ชุดกระดานลื่น (slider)</t>
  </si>
  <si>
    <t>1013 53 0001-3</t>
  </si>
  <si>
    <t>สไลด์แอนด์สวิง(slider&amp;swing)</t>
  </si>
  <si>
    <t>1014 53 0001-2</t>
  </si>
  <si>
    <t>1015 53 0001-3</t>
  </si>
  <si>
    <t>1016 53 0001-8</t>
  </si>
  <si>
    <t>1017 53 0001-2</t>
  </si>
  <si>
    <r>
      <t xml:space="preserve"> - เครื่องรับส่งวิทยุระบบ</t>
    </r>
    <r>
      <rPr>
        <sz val="11"/>
        <rFont val="Cordia New"/>
        <family val="2"/>
      </rPr>
      <t>YHF/FM</t>
    </r>
  </si>
  <si>
    <t>120/42</t>
  </si>
  <si>
    <t>ตลาดเกดษตร</t>
  </si>
  <si>
    <t>ยี่ห้อ แบบ ขนาดและลักษณะ</t>
  </si>
  <si>
    <t>วัน/เดือน/ปีที่ได้รับกรรมสิทธิ์</t>
  </si>
  <si>
    <t>ราคาต่อหน่วย(บาท)</t>
  </si>
  <si>
    <t>ราคารวม(บาท)</t>
  </si>
  <si>
    <t>เลขที่ หรือ รหัส</t>
  </si>
  <si>
    <t>วิธีได้มาซึ่งกรรมสิทธ์</t>
  </si>
  <si>
    <t>เลขที่ เอกสาร</t>
  </si>
  <si>
    <t xml:space="preserve">โทรทัศน์สีจอแบน </t>
  </si>
  <si>
    <t>088 49 0001-4</t>
  </si>
  <si>
    <t>ถมดิน  (สำนักงาน)</t>
  </si>
  <si>
    <t>19)</t>
  </si>
  <si>
    <t>งานทะเบียนทรัพย์สิน</t>
  </si>
  <si>
    <r>
      <t xml:space="preserve">โครงการ     ขุดลอกเหมืองส่งน้ำบ้านหนองนกไข่  </t>
    </r>
    <r>
      <rPr>
        <sz val="12"/>
        <rFont val="Cordia New"/>
        <family val="2"/>
      </rPr>
      <t>หมู่ที่ 5</t>
    </r>
  </si>
  <si>
    <t>โครงการ     ปรับปรุงถนนสายท่าเสาร์-หัวลำภูตก   หมู่ที่6</t>
  </si>
  <si>
    <t>โครงการ     ก่อสร้างถนนคอนกรีตเสริมเหล็กภายในชุมชนบ้านลำคลอง หมู่ที่ 7</t>
  </si>
  <si>
    <t>โครงการ    ปรับปรุงภูมิทัศน์ที่ทำการองค์การบริหารส่วนตำบล(ถมดิน)</t>
  </si>
  <si>
    <t>ตั้งแต่วันที่ 1 ตุลาคม 2553 ถึงวันที่  30 กันยายน 2554</t>
  </si>
  <si>
    <t>ขนาด 38-70 มม.หรือดีกว่า</t>
  </si>
  <si>
    <t xml:space="preserve">ใช้ฟิล์มขนาด 35 มม. </t>
  </si>
  <si>
    <t>มีไฟแวบในตัวกล้อง</t>
  </si>
  <si>
    <t>400 45 0020</t>
  </si>
  <si>
    <t xml:space="preserve">โต๊ะประชุมขนาด 12 คน </t>
  </si>
  <si>
    <t>416 45 0002</t>
  </si>
  <si>
    <t>Monitor 17” RAM 256 MB</t>
  </si>
  <si>
    <t>HDD 40 GB พร้อมอุปกรณ์</t>
  </si>
  <si>
    <t>400 40 0010-11</t>
  </si>
  <si>
    <t>400 43 0014-15</t>
  </si>
  <si>
    <t>406 44 0008</t>
  </si>
  <si>
    <t>406 44 0009</t>
  </si>
  <si>
    <t>406 45 0014-16</t>
  </si>
  <si>
    <t>001 45 0001</t>
  </si>
  <si>
    <t>ที่ดิน จำนวน 9 ไร่ 1 งาน</t>
  </si>
  <si>
    <t>พิเศษ</t>
  </si>
  <si>
    <t>หมู่ที่ 10</t>
  </si>
  <si>
    <t xml:space="preserve">4.90 ตารางวา  </t>
  </si>
  <si>
    <t>(สำหรับก่อสร้างที่ทำการ อบต.)</t>
  </si>
  <si>
    <t>054 45 0001</t>
  </si>
  <si>
    <t>เครื่องพ่นหมอกควันกำจัด</t>
  </si>
  <si>
    <t>หมู่ที่ 1-12</t>
  </si>
  <si>
    <t>ครุภัณฑ์สำนักงาน</t>
  </si>
  <si>
    <t>ครุภัณฑ์ยานพาหนะและขนส่ง</t>
  </si>
  <si>
    <t>ครุภัณฑ์คอมพิวเตอร์</t>
  </si>
  <si>
    <t>416 46 0003</t>
  </si>
  <si>
    <t xml:space="preserve">เครื่องไมโครคอมพิวเตอร์ </t>
  </si>
  <si>
    <t>เงินเดือน (ฝ่ายการเมือง)</t>
  </si>
  <si>
    <t xml:space="preserve">เงินเดือน  (ฝ่ายประจำ) </t>
  </si>
  <si>
    <t>ยี่ห้อ Powell รุ่น Achilles</t>
  </si>
  <si>
    <t>-Mouse</t>
  </si>
  <si>
    <t>-Keyboard</t>
  </si>
  <si>
    <t>-จอภาพ Powell 15 นิ้ว</t>
  </si>
  <si>
    <t>-Modem 56 Kbps</t>
  </si>
  <si>
    <t>หอกระจายข่าวแบบเสาสูง</t>
  </si>
  <si>
    <t>12 เมตร มีลำโพงฮอนด์</t>
  </si>
  <si>
    <t>4 ด้าน  และอุปกรณ์ต่อพ่วง</t>
  </si>
  <si>
    <t>หมู่ที่ 5</t>
  </si>
  <si>
    <t>หมู่ที่ 7</t>
  </si>
  <si>
    <t>ศาลาอเนกประสงค์ ขนาด</t>
  </si>
  <si>
    <t>กว้าง 6 เมตร ยาว 12 เมตร</t>
  </si>
  <si>
    <t>มีพื้นที่ใช้สอย 72 ตร.ม.</t>
  </si>
  <si>
    <t>หมู่ที่ 1</t>
  </si>
  <si>
    <t>โต๊ะเขียนแบบ ปรับระดับได้</t>
  </si>
  <si>
    <t xml:space="preserve">   </t>
  </si>
  <si>
    <t>ไม้สต๊าฟอลูมิเนียม แบบพับ</t>
  </si>
  <si>
    <t>ขนาด 3 เมตร  พร้อมด้วย</t>
  </si>
  <si>
    <t>รุ่น AT-G6</t>
  </si>
  <si>
    <t>009 46 0002</t>
  </si>
  <si>
    <t>416 46 0004</t>
  </si>
  <si>
    <t>เงินสะสม 30 กันยายน 2553</t>
  </si>
  <si>
    <t>ประเภท ออมทรัพย์   05331067844-5</t>
  </si>
  <si>
    <t xml:space="preserve">                     หัวหน้าส่วนการคลัง                  ปลัดองค์การบริหารส่วนตำบล        นายกองค์การบริหารส่วนตำบลหัวไทร</t>
  </si>
  <si>
    <t xml:space="preserve">                  (นางข้อหนัน  เจะดุหมัน)                   (นายเสน่ห์  อ่อนเกตุพล)                          (นายสุทัศน์   พูลเสน)</t>
  </si>
  <si>
    <t xml:space="preserve">   (นางข้อหนัน  เจะดุหมัน)                  (นายเสน่ห์  อ่อนเกตุพล)                            (นายสุทัศน์   พูลเสน)</t>
  </si>
  <si>
    <t xml:space="preserve">                                                  (นางข้อหนัน  เจะดุหมัน)                                (นายเสน่ห์  อ่อนเกตุพล)                                    (นายสุทัศน์   พูลเสน)</t>
  </si>
  <si>
    <t xml:space="preserve">           หัวหน้าส่วนการคลัง                               ปลัดองค์การบริหารส่วนตำบล                    นายกองค์การบริหารส่วนตำบลหัวไทร</t>
  </si>
  <si>
    <t xml:space="preserve">        นางข้อหนัน  เจะดุหมัน)                                 (นายเสน่ห์  อ่อนเกตุพล)                                      (นายสุทัศน์   พูลเสน)</t>
  </si>
  <si>
    <t>P4160D พร้อมอุปกรณ์ดังนี้</t>
  </si>
  <si>
    <t>ยี่ห้อ Mac พร้อมอุปกรณ์ดังนี้</t>
  </si>
  <si>
    <t>-จอภาพ Powell 17 นิ้ว</t>
  </si>
  <si>
    <t>-เครื่องพิมพ์แบบ Laser</t>
  </si>
  <si>
    <t>-เครื่องสำรองไฟฟ้า</t>
  </si>
  <si>
    <t>287  53 0001</t>
  </si>
  <si>
    <t>ถมดินลูกรัง กว้าง 30 เมตร</t>
  </si>
  <si>
    <t>ยาว 50 เมตร และถนนทางเข้า</t>
  </si>
  <si>
    <t>กว้าง 5 เมตร ระยะทางข้างละ</t>
  </si>
  <si>
    <t>75 เมตร รวม 150 เมตร</t>
  </si>
  <si>
    <t>283-43-0001</t>
  </si>
  <si>
    <t>283-44-0002</t>
  </si>
  <si>
    <t>283-44-0003</t>
  </si>
  <si>
    <t>283-46-0004-05</t>
  </si>
  <si>
    <t>007-43-0001</t>
  </si>
  <si>
    <t>007-44-0002</t>
  </si>
  <si>
    <t>007-46-0003</t>
  </si>
  <si>
    <t>007-46-0004</t>
  </si>
  <si>
    <t>007-46-0005</t>
  </si>
  <si>
    <t>400 46 0021</t>
  </si>
  <si>
    <t>051-46-0001</t>
  </si>
  <si>
    <t>078-46-0001</t>
  </si>
  <si>
    <t>009-46-0001</t>
  </si>
  <si>
    <t>ภาษีจัดสรร</t>
  </si>
  <si>
    <t>รวมรายรับทั้งสิ้น</t>
  </si>
  <si>
    <t>รายจ่ายอื่น</t>
  </si>
  <si>
    <t>5)             ค่าใบอนุญาตเกี่ยวกับการควบคุมอาคาร</t>
  </si>
  <si>
    <t>เงินอุดหนุนเฉพาะกิจ(บันทึกจ่ายเงินอุดหนุนเฉพาะกิจ)</t>
  </si>
  <si>
    <t>ยอดยกไป</t>
  </si>
  <si>
    <t>รถบรรทุกดีเซล ขนาด 6 ล้อ  6 ตัน</t>
  </si>
  <si>
    <t>สระน้ำ  เก็บน้ำที่ทำการอบต.</t>
  </si>
  <si>
    <t>ห้องน้ำ ข้างอาคารพัสดุ</t>
  </si>
  <si>
    <t>ค่าปรับปรุงถนนสายซอยแพรกเมือง 1 หมู่ที่ 2</t>
  </si>
  <si>
    <t>ค่าปรับปรุงถนนสายซอยแพรกเมือง 2 หมู่ที่ 2</t>
  </si>
  <si>
    <t>ค่าปรับปรุงถนนสายซอยประชารวมใจ 1 หมู่ที่ 2</t>
  </si>
  <si>
    <t>ค่าปรับปรุงถนนสายซอยประชารวมใจ 2 หมู่ที่ 2</t>
  </si>
  <si>
    <t>ค่าปรับปรุงถนนสายซอยทะเลปัง 1 หมู่ที่ 2</t>
  </si>
  <si>
    <t>ค่าปรับปรุงถนนสายซอยทะเลปัง 2 หมู่ที่ 2</t>
  </si>
  <si>
    <t>ค่าปรับปรุงถนนสายซอยทะเลปัง 4 หมู่ที่ 2</t>
  </si>
  <si>
    <t>ขยายท่อเมนจ่ายน้ำประปา ม.6</t>
  </si>
  <si>
    <t>ค่าก่อสร้างประตูระบายน้ำโรงสูบน้ำและติดตั้งเครื่องม.3</t>
  </si>
  <si>
    <t>ค่าขยายเขตระบบจ่ายไฟฟ้าแรงสูง 3 เฟส หมู่ที่ 3</t>
  </si>
  <si>
    <t>รวม 7 สาย</t>
  </si>
  <si>
    <t>ค่าซ่อมบ้านให้ราษฎร</t>
  </si>
  <si>
    <t>รวมรายจ่ายตามประมาณการรายจ่ายทั้งสิ้น</t>
  </si>
  <si>
    <t>สูงกว่า</t>
  </si>
  <si>
    <t>รายรับ                                             รายจ่าย</t>
  </si>
  <si>
    <t>ต่ำกว่า</t>
  </si>
  <si>
    <t>รายรับ</t>
  </si>
  <si>
    <t>ภาษีอากร</t>
  </si>
  <si>
    <t>ค่าธรรมเนียม ค่าปรับและใบอนุญาต</t>
  </si>
  <si>
    <t>รายได้เบ็ดเตล็ด</t>
  </si>
  <si>
    <t>รายได้จากสาธารณูปโภคและการพาณิชย์</t>
  </si>
  <si>
    <t>รายจ่ายตามประมาณการ</t>
  </si>
  <si>
    <t>บาท</t>
  </si>
  <si>
    <t>กรมการปกครอง</t>
  </si>
  <si>
    <t>เงินอุดหนุนจาก อบจ.</t>
  </si>
  <si>
    <t>ณ  วันที่  30 กันยายน  2554</t>
  </si>
  <si>
    <t>เงินรับฝาก-ค่ากระแสไฟฟ้า</t>
  </si>
  <si>
    <t>ลูกหนี้-เงินยืมเงินงบประมาณ</t>
  </si>
  <si>
    <t>ปีงบประมาณ  2554</t>
  </si>
  <si>
    <t>ค่าวัสไฟฟ้าและวิทยุ</t>
  </si>
  <si>
    <t>รายจ่ายค้างจ่ายยอดยกมา 2553</t>
  </si>
  <si>
    <t>ณ   วันที่     3o  กันยายน    2554</t>
  </si>
  <si>
    <t>เงินสะสม 1 ตุลาคม 2553</t>
  </si>
  <si>
    <t>หัก 25% ของลูกหนี้ภาษีบำรุงท้องที่ (เงินทุนสำรองเงินสะสม)</t>
  </si>
  <si>
    <t>เงินสะสม     30  กันยายน 2554   ประกอบด้วย</t>
  </si>
  <si>
    <r>
      <t xml:space="preserve">หมายเหตุ </t>
    </r>
    <r>
      <rPr>
        <sz val="14"/>
        <rFont val="AngsanaUPC"/>
        <family val="1"/>
      </rPr>
      <t xml:space="preserve"> ในปีงบประมาณ 2554  ไม่มีการจ่ายขาดเงินสะสม</t>
    </r>
  </si>
  <si>
    <t>ตั้งแต่วันที่ 1 ตุลาคม  2553 ถึง  30  กันยายน  2554</t>
  </si>
  <si>
    <t>ส่งเสริมการท่องเทียว</t>
  </si>
  <si>
    <t>หมู่ที่ 4</t>
  </si>
  <si>
    <t>005-47-0001</t>
  </si>
  <si>
    <t>283-47-0006</t>
  </si>
  <si>
    <t>8.40 เมตร ยาว 28 เมตร โดย</t>
  </si>
  <si>
    <t>108-47-0001</t>
  </si>
  <si>
    <t>ติดตั้งระบบไฟฟ้าสาธารณะ</t>
  </si>
  <si>
    <t>บริเวณถนนสายหนองบอน</t>
  </si>
  <si>
    <t>กรณีพิเศษ</t>
  </si>
  <si>
    <t xml:space="preserve">24 ก.ย 46 </t>
  </si>
  <si>
    <t xml:space="preserve"> 79/2542</t>
  </si>
  <si>
    <t>39/289</t>
  </si>
  <si>
    <t>124/42</t>
  </si>
  <si>
    <t>รถไถนาชนิดเดินตาม  8 แรงม้าET80</t>
  </si>
  <si>
    <t>HDD 8.4 GB พร้อมอุปกรณ์ต่อพ่วง</t>
  </si>
  <si>
    <t>602 44 0003-04</t>
  </si>
  <si>
    <t>159/237</t>
  </si>
  <si>
    <t>จำหน่าย</t>
  </si>
  <si>
    <t>484 50 0001-2</t>
  </si>
  <si>
    <t>133/201</t>
  </si>
  <si>
    <t>186/271</t>
  </si>
  <si>
    <t xml:space="preserve"> 04/04</t>
  </si>
  <si>
    <t>454-44-0001</t>
  </si>
  <si>
    <t>กล้องถ่ายวีดีโอ SONY</t>
  </si>
  <si>
    <t xml:space="preserve">14 ก.ย 44 </t>
  </si>
  <si>
    <t>151/229</t>
  </si>
  <si>
    <t xml:space="preserve"> 20/115</t>
  </si>
  <si>
    <t>เงินทุนสำรองเงินสะสม</t>
  </si>
  <si>
    <t>รายจ่ายค้างจ่าย</t>
  </si>
  <si>
    <t>เงินรายจ่ายค้างจ่าย</t>
  </si>
  <si>
    <t>10)</t>
  </si>
  <si>
    <t>18 เม.ย 48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</si>
  <si>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</si>
  <si>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งานวิชาการวางแผนและ</t>
  </si>
  <si>
    <t>ส่งเสริมการท่องเที่ยว</t>
  </si>
  <si>
    <t>ชุดรับแขก 4ที่นั่งเข้ามุม 1 ตัว</t>
  </si>
  <si>
    <t>9 พ.ค 48</t>
  </si>
  <si>
    <t>18 พ.ค 48</t>
  </si>
  <si>
    <t>403480001-2</t>
  </si>
  <si>
    <t>19/97</t>
  </si>
  <si>
    <t>84/84</t>
  </si>
  <si>
    <t>40/290</t>
  </si>
  <si>
    <t>ม่านปรับแสง</t>
  </si>
  <si>
    <t>ตู้สาขาโทรศัพท์</t>
  </si>
  <si>
    <t xml:space="preserve"> เครื่องรับส่งวิทยุพรัอม</t>
  </si>
  <si>
    <t xml:space="preserve">รถบรรทุกดีเชล ขนาด 1 ตัน  ก.จ </t>
  </si>
  <si>
    <t xml:space="preserve"> เครื่องพ่นหมอกควัน</t>
  </si>
  <si>
    <t>ยุงลาย ยี่ห้อไอจีบ้า  รุ่น TF-35</t>
  </si>
  <si>
    <t xml:space="preserve"> เครื่องคอมพิวเตอร์</t>
  </si>
  <si>
    <t xml:space="preserve">  ครุภัณฑ์คอมพิวเตอร์</t>
  </si>
  <si>
    <t xml:space="preserve"> ล้อวัดระยะทาง</t>
  </si>
  <si>
    <t xml:space="preserve"> ไม้สต๊าฟและกล้องระดับ</t>
  </si>
  <si>
    <t>เทปวัดระยะ</t>
  </si>
  <si>
    <t xml:space="preserve"> ชุดทดสอบความข้นเหลว</t>
  </si>
  <si>
    <t xml:space="preserve"> กล้องถ่ายวีดีโอ</t>
  </si>
  <si>
    <t>เครื่องบันทึก ดีวีดี</t>
  </si>
  <si>
    <t>456 51 0002</t>
  </si>
  <si>
    <t xml:space="preserve"> โทรโข่งแบบสะพายไหล่</t>
  </si>
  <si>
    <t xml:space="preserve"> ระบบกล้องวงจรปิด </t>
  </si>
  <si>
    <t>เครื่องทำน้ำเย็น</t>
  </si>
  <si>
    <t xml:space="preserve">  ผ้าม่าน</t>
  </si>
  <si>
    <t>ตู้เย็น</t>
  </si>
  <si>
    <t xml:space="preserve">หอกระจายข่าวแบบเสาสูง  </t>
  </si>
  <si>
    <t>283 48 0007-10</t>
  </si>
  <si>
    <t>283  49  0011</t>
  </si>
  <si>
    <t xml:space="preserve"> หอกระจายข่าว</t>
  </si>
  <si>
    <t>ก่อสร้างศาลาอเนกประสงค์ ม.11</t>
  </si>
  <si>
    <t xml:space="preserve"> ศาลาเอนกประสงค์</t>
  </si>
  <si>
    <t>29  พ.ย. 49</t>
  </si>
  <si>
    <t xml:space="preserve"> ศาลาอเนกประสงค์</t>
  </si>
  <si>
    <t>ปรับปรุงศาลาเอนกประสงค์ ม.1</t>
  </si>
  <si>
    <t xml:space="preserve">  5   เม.ย.49</t>
  </si>
  <si>
    <t>(จุดที่ 2) โดยติดตั้งโคมไฟฟ้า  17 จุด</t>
  </si>
  <si>
    <t xml:space="preserve"> ที่ดิน</t>
  </si>
  <si>
    <t>077 48 0007</t>
  </si>
  <si>
    <t>ก่อสร้างระบบประปา ม.11</t>
  </si>
  <si>
    <t>077 49 0012</t>
  </si>
  <si>
    <t>077 49 0013</t>
  </si>
  <si>
    <t>109  49 0001</t>
  </si>
  <si>
    <t>ขุดเจาะบ่อบาดาล ม.8</t>
  </si>
  <si>
    <t>27 พ.ย 49</t>
  </si>
  <si>
    <t xml:space="preserve">ก่อสร้างระบบประปาหมู่บ้าน </t>
  </si>
  <si>
    <t>ชั้นวางเอกสารติดฝาพนัง</t>
  </si>
  <si>
    <t>479480001-3</t>
  </si>
  <si>
    <t>ตู้ปิดประกาศพร้อมกุญแจ</t>
  </si>
  <si>
    <t>ชนิดแขวน12000บีทียู</t>
  </si>
  <si>
    <t>ชนิดแขวน25000บีทียู</t>
  </si>
  <si>
    <t>420 48 0001-4</t>
  </si>
  <si>
    <t>420 48 0005-8</t>
  </si>
  <si>
    <t>480 48 0001</t>
  </si>
  <si>
    <t>ม่านปรับแสง  12 ช่อง</t>
  </si>
  <si>
    <t>481 48 0001</t>
  </si>
  <si>
    <t>ตู้สาขาโทรศัพท์พร้อมอุปกรณ์</t>
  </si>
  <si>
    <t>26 ส.ค 2548</t>
  </si>
  <si>
    <t>478 48 0001</t>
  </si>
  <si>
    <t>DVR-320-S</t>
  </si>
  <si>
    <t>เครื่องคำนวณเลข</t>
  </si>
  <si>
    <t xml:space="preserve"> ตู้นิรภัย</t>
  </si>
  <si>
    <t xml:space="preserve"> เครื่องถ่ายเอกสาร</t>
  </si>
  <si>
    <t xml:space="preserve"> ชุดรับแขก</t>
  </si>
  <si>
    <t xml:space="preserve"> ชั้นวางเอกสาร</t>
  </si>
  <si>
    <t>ตู้ปิดประกาศ</t>
  </si>
  <si>
    <t>เครื่องปรับอากาศ</t>
  </si>
  <si>
    <t>โต๊ะหมู่บูชา</t>
  </si>
  <si>
    <t>เครื่องเจาะกระดาษ</t>
  </si>
  <si>
    <t>โพเดียม</t>
  </si>
  <si>
    <t>ฉากกั้น</t>
  </si>
  <si>
    <t>เวทีห้องประชุม</t>
  </si>
  <si>
    <t>ขนาด  20 นิ้ว ยี่ห้อ  PHILIP</t>
  </si>
  <si>
    <t>26/2539</t>
  </si>
  <si>
    <t>เครื่องมัลติมิเดีย โปรเจคเตอร์</t>
  </si>
  <si>
    <t>406 52 19-20</t>
  </si>
  <si>
    <t>ตู้เก็บเอกสาร 3 ประตูทำด้วยไม้</t>
  </si>
  <si>
    <t>30 มิ.ย 52</t>
  </si>
  <si>
    <t>30 ก.ค 51</t>
  </si>
  <si>
    <t>439 48 002-3</t>
  </si>
  <si>
    <t>เครื่องทำน้ำเย็นถังเสตนเลส</t>
  </si>
  <si>
    <t>ผ้าม่านพร้อมอุปกรณ่ตกแต่ง</t>
  </si>
  <si>
    <t>จำนวน  14 ช่อง</t>
  </si>
  <si>
    <t>434 48 0001</t>
  </si>
  <si>
    <t>703 48 0001</t>
  </si>
  <si>
    <t>ตู้เย็น TOSHIBA 5คิวบิกฟุต</t>
  </si>
  <si>
    <t>พร้อมอุปกรณ์ต่อพ่วง</t>
  </si>
  <si>
    <t>416 48 0005</t>
  </si>
  <si>
    <t>คอมพิวเตอร์ ACER SA 60</t>
  </si>
  <si>
    <t>416 48  0006-8</t>
  </si>
  <si>
    <t>หมู่ที่ 3</t>
  </si>
  <si>
    <t>หมู่ที่ 2</t>
  </si>
  <si>
    <t xml:space="preserve">   ขยายท่อเมนต์ประปา</t>
  </si>
  <si>
    <t>23  มิ.ย 48</t>
  </si>
  <si>
    <t>30 มิ.ย 48</t>
  </si>
  <si>
    <t>ฟัน7 โรงเรียน</t>
  </si>
  <si>
    <t>193 48 0001-7</t>
  </si>
  <si>
    <t>อ่างล้างมือ แปรงฟัน</t>
  </si>
  <si>
    <t>13  ก.ย 48</t>
  </si>
  <si>
    <t>007 48 0006</t>
  </si>
  <si>
    <t xml:space="preserve">   (นางข้อหนัน  เจะดุหมัน)                      (นายเสน่ห์  อ่อนเกตุพล)                          (นายสุทัศน์   พูลเสน)</t>
  </si>
  <si>
    <t xml:space="preserve">       หัวหน้าส่วนการคลัง                  ปลัดองค์การบริหารส่วนตำบล        นายกองค์การบริหารส่วนตำบลหัวไทร</t>
  </si>
  <si>
    <t>งบบัญชีรายละเอียดรายรับ-รายจ่ายจริง</t>
  </si>
  <si>
    <t>รายได้ภาษีอากร</t>
  </si>
  <si>
    <t>ภาษีจัดเก็บเอง</t>
  </si>
  <si>
    <t>1.</t>
  </si>
  <si>
    <t>หมวดภาษีอากร</t>
  </si>
  <si>
    <t>ภาษีโรงเรือนและที่ดิน</t>
  </si>
  <si>
    <t>ภาษีป้าย</t>
  </si>
  <si>
    <t>ภาษีที่รัฐจัดสรรให้</t>
  </si>
  <si>
    <t>ภาษีมูลค่าเพิ่ม พรบ.ตามแผน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</si>
  <si>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</si>
  <si>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</si>
  <si>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</si>
  <si>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</si>
  <si>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</si>
  <si>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</si>
  <si>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รายได้ที่มิใช่ภาษีอากร</t>
  </si>
  <si>
    <t>2.</t>
  </si>
  <si>
    <t>หมวดค่าธรรมเนียม ค่าปรับและใบอนุญาต</t>
  </si>
  <si>
    <t>ค่าธรรมเนียมเกี่ยวกับใบอนุญาตการพนัน</t>
  </si>
  <si>
    <t>ค่าธรรมเนียมเก็บและขนขยะมูลฝอย</t>
  </si>
  <si>
    <t>ค่าปรับผู้กระทำผิดกฎจราจร</t>
  </si>
  <si>
    <t>ค่าปรับการผิดสัญญา</t>
  </si>
  <si>
    <t>3.</t>
  </si>
  <si>
    <t xml:space="preserve">                          (นางข้อหนัน  เจะดุหมัน)                                (นายเสน่ห์  อ่อนเกตุพล)                                    (นายสุทัศน์   พูลเสน)</t>
  </si>
  <si>
    <t xml:space="preserve">                           หัวหน้าส่วนการคลัง                                 ปลัดองค์การบริหารส่วนตำบล                  นายกองค์การบริหารส่วนตำบลหัวไทร</t>
  </si>
  <si>
    <t xml:space="preserve">เงินอุดหนุนทั่วไป </t>
  </si>
  <si>
    <t>(ไม่ตั้งงบประมาณ)</t>
  </si>
  <si>
    <t xml:space="preserve">ค่าที่ดินและสิ่งก่อสร้าง </t>
  </si>
  <si>
    <t xml:space="preserve">                                (นางข้อหนัน  เจะดุหมัน)                                (นายเสน่ห์  อ่อนเกตุพล)                                    (นายสุทัศน์   พูลเสน)</t>
  </si>
  <si>
    <t xml:space="preserve">                                     หัวหน้าส่วนการคลัง                             ปลัดองค์การบริหารส่วนตำบล                  นายกองค์การบริหารส่วนตำบลหัวไทร</t>
  </si>
  <si>
    <t>ดอกเบี้ยเงินฝากธนาคาร</t>
  </si>
  <si>
    <t>-2-</t>
  </si>
  <si>
    <t>หมวดรายได้เบ็ดเตล็ด</t>
  </si>
  <si>
    <t>ค่าขายแบบแปลน</t>
  </si>
  <si>
    <t>ค่ารับรองสำเนาและถ่ายเอกสาร</t>
  </si>
  <si>
    <t xml:space="preserve">รายได้เบ็ดเตล็ดอื่น ๆ </t>
  </si>
  <si>
    <t>หมวดเงินอุดหนุน</t>
  </si>
  <si>
    <t>เงินอุดหนุนทั่วไป (อบต.)</t>
  </si>
  <si>
    <t>รวมรายรับตามงบประมาณ</t>
  </si>
  <si>
    <t>ค่าจ้างประจำ-สถานีสูบน้ำด้วยไฟฟ้า8</t>
  </si>
  <si>
    <t>เงินเพิ่ม-การครองชีพ-สถานีสูบน้ำด้วยไฟฟ้า</t>
  </si>
  <si>
    <t>เงินสมทบ กสจ. 3%</t>
  </si>
  <si>
    <t>เงินช่วยเหลือค่ารักษาพยาบาล</t>
  </si>
  <si>
    <t>ค่ากระแสไฟฟ้าสถานีสูบน้ำ(ประชาชน)</t>
  </si>
  <si>
    <t>รายจ่ายตามงบประมาณรายจ่าย</t>
  </si>
  <si>
    <t>ก.</t>
  </si>
  <si>
    <t>แผนงานบริหาร</t>
  </si>
  <si>
    <t>หมวดเงินเดือน</t>
  </si>
  <si>
    <t>หมวดค่าจ้างประจำ</t>
  </si>
  <si>
    <t>หมวดค่าจ้างชั่วคราว</t>
  </si>
  <si>
    <t>ขุดสระน้ำประปาที่อบต. ระบบประปา</t>
  </si>
  <si>
    <t>ก่อสร้างลานกีฬาเอนกประสงค์</t>
  </si>
  <si>
    <t>ณ  วันที่  30 กันยายน  2553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</si>
  <si>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</si>
  <si>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</si>
  <si>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</si>
  <si>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</si>
  <si>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รวมรายจ่ายตามแผนงานบริหาร</t>
  </si>
  <si>
    <t>หมวดค่าที่ดินและสิ่งก่อสร้าง</t>
  </si>
  <si>
    <t>รวมรายจ่ายตามแผนงานพัฒนา</t>
  </si>
  <si>
    <t>รวมรายจ่ายตามงบประมาณ</t>
  </si>
  <si>
    <t>ค่าขยายระบบไฟฟ้าระบบประปา ม.6 บ้านโคกหลวง</t>
  </si>
  <si>
    <t>เงินพัฒนาสนับสนุนครอบครัวและเยาวชน</t>
  </si>
  <si>
    <t>ค่าครุภัณฑ์ศูนย์เด็ก หัวลำภู ทะเลปัง</t>
  </si>
  <si>
    <t>ค่าวัสดุศูนย์เด็ก หัวลำภู ทะเลปัง</t>
  </si>
  <si>
    <t>เงินทุนการศึกษาศูนย์เด็ก หัวลำภู ทะเลปัง</t>
  </si>
  <si>
    <t>ค่าจ้างชั่วคราว/เงินค่าครองชีพ/ศูนย์เด็กเล็กวัดทะเลปัง</t>
  </si>
  <si>
    <t>ประกันสังคม</t>
  </si>
  <si>
    <t xml:space="preserve">รายละเอียดประกอบงบทดลองและรายงานรับ-จ่ายเงินสด </t>
  </si>
  <si>
    <t>ยอดยกมา</t>
  </si>
  <si>
    <t>รับ</t>
  </si>
  <si>
    <t>จ่าย</t>
  </si>
  <si>
    <t xml:space="preserve">รายจ่ายค้างจ่าย </t>
  </si>
  <si>
    <t>(หมายเหตุ 3)</t>
  </si>
  <si>
    <t>หมวดที่จ่าย</t>
  </si>
  <si>
    <t>รหัสบัญชี</t>
  </si>
  <si>
    <t>-4-</t>
  </si>
  <si>
    <t>เงินทุนโครงการเศรษฐกิจชุมชน</t>
  </si>
  <si>
    <t>เงินอุดหนุนเฉพาะกิจ</t>
  </si>
  <si>
    <t xml:space="preserve">กล้องระดับ Topcon 24 เท่า </t>
  </si>
  <si>
    <t>-เครื่องสแกนเนอร์,ลำโพง</t>
  </si>
  <si>
    <t>รถบรรทุกน้ำ ขนาด 10,000</t>
  </si>
  <si>
    <t>16  ส.ค. 48</t>
  </si>
  <si>
    <t xml:space="preserve"> .3543 ขับเคลื่อน 2 ล้อ แบบดับเบิ้ลแคบ ยี่ห้อ โตโยตา</t>
  </si>
  <si>
    <t>รถกู้ภัยเคลื่อนที่เร็ว ยี่ห้อ</t>
  </si>
  <si>
    <t>16  ส.ค.  48</t>
  </si>
  <si>
    <r>
      <t>PENTIUM IV 2.0 GH</t>
    </r>
    <r>
      <rPr>
        <vertAlign val="subscript"/>
        <sz val="13"/>
        <rFont val="Cordia New"/>
        <family val="2"/>
      </rPr>
      <t>z</t>
    </r>
  </si>
  <si>
    <t xml:space="preserve">482 49 0001 </t>
  </si>
  <si>
    <t>กล้องถ่ายรูประบบ Digital</t>
  </si>
  <si>
    <t>483 49 0001 - 2</t>
  </si>
  <si>
    <t>การสาธารณสุข</t>
  </si>
  <si>
    <t>งานโรงพยาบาล</t>
  </si>
  <si>
    <t>งานบริการสาธารณสุข</t>
  </si>
  <si>
    <t>และงานสาธารณสุขอื่น</t>
  </si>
  <si>
    <t>คอมพิวเตอร์ PoKet PC</t>
  </si>
  <si>
    <t>001 49 0001</t>
  </si>
  <si>
    <t>กจ. 3543</t>
  </si>
  <si>
    <t>วีโก้ รุ่น 2.5 เจ สีบรอนซ์เงิน</t>
  </si>
  <si>
    <t>007 49 0007</t>
  </si>
  <si>
    <t>077 49 0005</t>
  </si>
  <si>
    <t>ก่อสร้างระบบประปา</t>
  </si>
  <si>
    <t>477 49 0001</t>
  </si>
  <si>
    <t>โต๊ะหมู่บูชาชุด 9 หมู่</t>
  </si>
  <si>
    <t>420 49 0009</t>
  </si>
  <si>
    <t>เครื่องปรับอากาศชนิด</t>
  </si>
  <si>
    <t>420 49 0010</t>
  </si>
  <si>
    <t>แขวน ยี่ห้อ NEC ขนาด</t>
  </si>
  <si>
    <t>420 49 0011</t>
  </si>
  <si>
    <t>25,000 บีทียู</t>
  </si>
  <si>
    <t>283  49  0012</t>
  </si>
  <si>
    <t>ก่อสร้างหอกระจายข่าว</t>
  </si>
  <si>
    <t>ฎีกา  105</t>
  </si>
  <si>
    <t>งบทดลอง (หลังปิดบัญชี)</t>
  </si>
  <si>
    <t>ภาษีมูลค่าเพิ่ม 1 ใน 9</t>
  </si>
  <si>
    <t>เงินทุนสำรองเงินสะสม (54)</t>
  </si>
  <si>
    <t xml:space="preserve">                                              หัวหน้าส่วนการคลัง                  ปลัดองค์การบริหารส่วนตำบล                นายกองค์การบริหารส่วนตำบลหัวไทร</t>
  </si>
  <si>
    <t xml:space="preserve">                                           (นางข้อหนัน  เจะดุหมัน)                   (นายเสน่ห์  อ่อนเกตุพล)                                 (นายสุทัศน์   พูลเสน)</t>
  </si>
  <si>
    <t xml:space="preserve">                                                      หัวหน้าส่วนการคลัง                               ปลัดองค์การบริหารส่วนตำบล                    นายกองค์การบริหารส่วนตำบลหัวไทร</t>
  </si>
  <si>
    <t>ตั้งแต่วันที่ 1 ตุลาคม  2553  ถึง  30 กันยายน 2554</t>
  </si>
  <si>
    <t xml:space="preserve">  หมายเหตุ  1.ยืมเงินสะสมไปจ่าย                 .  บาท</t>
  </si>
  <si>
    <t xml:space="preserve">                      2.จ่ายขาดเงินสะสม                     บาท</t>
  </si>
  <si>
    <t>ตั้งแต่วันที่ 1 ตุลาคม 2552 ถึงวันที่ 30  กันยายน  2553</t>
  </si>
  <si>
    <t>ม. 3 และ ม.4</t>
  </si>
  <si>
    <t>โต๊ะประชุม</t>
  </si>
  <si>
    <t>เครื่องขยายเสียง</t>
  </si>
  <si>
    <t>46 42 0001</t>
  </si>
  <si>
    <t xml:space="preserve"> ก.พ 53</t>
  </si>
  <si>
    <t xml:space="preserve">                                                      หัวหน้าส่วนการคลัง                               ปลัดองค์การบริหารส่วนตำบล               นายกองค์การบริหารส่วนตำบลหัวไทร</t>
  </si>
  <si>
    <t>งานกีฬาและนันทนาการ</t>
  </si>
  <si>
    <t>งานศาสนาวัฒนธรรม</t>
  </si>
  <si>
    <t>ท้องถิ่น</t>
  </si>
  <si>
    <t>ตู้เครื่องหมายจราจร</t>
  </si>
  <si>
    <t>สนง. ปลัด</t>
  </si>
  <si>
    <t>077 49 0004</t>
  </si>
  <si>
    <t>406 40 0003-4</t>
  </si>
  <si>
    <t>106/2540</t>
  </si>
  <si>
    <t>107/2540</t>
  </si>
  <si>
    <t>262/43</t>
  </si>
  <si>
    <t>27/42</t>
  </si>
  <si>
    <t>36/059</t>
  </si>
  <si>
    <t>14/060</t>
  </si>
  <si>
    <t>29/159</t>
  </si>
  <si>
    <t>10/160 29/159</t>
  </si>
  <si>
    <t>สำนักงาน  ส่วนโยธา</t>
  </si>
  <si>
    <t>182/274 50/275</t>
  </si>
  <si>
    <t>สำนักงาน  ส่วนการคลัง</t>
  </si>
  <si>
    <t>23 ก.พ 52</t>
  </si>
  <si>
    <t>380/52</t>
  </si>
  <si>
    <t>ศพด.หัวลำภู</t>
  </si>
  <si>
    <t>6 มี.ค 51</t>
  </si>
  <si>
    <t>แบบเล่นเทบ ยี่ห้อ PANASNIC</t>
  </si>
  <si>
    <t>27/2539</t>
  </si>
  <si>
    <t>ตั้งแต่วันที่ 1 ตุลาคม 2553 ถึงวันที่ 30  กันยายน  2554</t>
  </si>
  <si>
    <t>ตั้งแต่วันที่  1  ตุลาคม 2553  ถึง   30  กันยายน  2554</t>
  </si>
  <si>
    <t>โครงการ…</t>
  </si>
  <si>
    <t>เครื่องทำน้ำเย็นแบบขวด</t>
  </si>
  <si>
    <t xml:space="preserve"> 5 ก.ย 39</t>
  </si>
  <si>
    <t>21/2539</t>
  </si>
  <si>
    <t>432 39 001-2</t>
  </si>
  <si>
    <t>ชนิดยื่นยี่ห้อ NATIONAL</t>
  </si>
  <si>
    <t>รับบริจาค</t>
  </si>
  <si>
    <t>3มี.ค 40</t>
  </si>
  <si>
    <t>ขนาดแคร่ 18 นิ้ว OLIVETTI 1</t>
  </si>
  <si>
    <t>ยี่ห้อ  MORGAN</t>
  </si>
  <si>
    <t>60/40</t>
  </si>
  <si>
    <t>ยี่ห้อ  KINGKONG</t>
  </si>
  <si>
    <t>16ก.ค 40</t>
  </si>
  <si>
    <t>108/40</t>
  </si>
  <si>
    <t>ยี่ห้อ  เก็ตเตอร์เนอร์</t>
  </si>
  <si>
    <t>79/42</t>
  </si>
  <si>
    <t>อบต.</t>
  </si>
  <si>
    <t>404 50 0002</t>
  </si>
  <si>
    <t>ชั้นวางเอกสาร</t>
  </si>
  <si>
    <t>4 เม.ย. 50</t>
  </si>
  <si>
    <t>404 50 0003</t>
  </si>
  <si>
    <t>ชั้นวางเอกสารแบบ 2ชั้น</t>
  </si>
  <si>
    <t>404 50 0004-7</t>
  </si>
  <si>
    <t>ชั้นวางเอกสารแบบ 4 ชุด</t>
  </si>
  <si>
    <t>054 50 0002</t>
  </si>
  <si>
    <t>เครื่องพ่นหมอกควัน</t>
  </si>
  <si>
    <t>089 50 0001</t>
  </si>
  <si>
    <t xml:space="preserve"> -ชุดทดสอบความข้นเหลว</t>
  </si>
  <si>
    <t>19 ม.ค. 50</t>
  </si>
  <si>
    <t>ภาษีบำรุงท้องที่</t>
  </si>
  <si>
    <t>ของคอนกรีต</t>
  </si>
  <si>
    <t>053 50 0001</t>
  </si>
  <si>
    <t xml:space="preserve"> - แบบหล่อคอนกรีต</t>
  </si>
  <si>
    <t>077 50 0001</t>
  </si>
  <si>
    <t>เทปวัดระยะไฟเบอร์กลาส</t>
  </si>
  <si>
    <t>19  ม.ค. 50</t>
  </si>
  <si>
    <t>416 50 0009</t>
  </si>
  <si>
    <t>เครื่องคอมพิวเตอร์</t>
  </si>
  <si>
    <t xml:space="preserve">  12  เม.ย. 50</t>
  </si>
  <si>
    <t>ก่อสร้างโรงเรือนเก็บพัสดุ</t>
  </si>
  <si>
    <t>10  ก.ค. 50</t>
  </si>
  <si>
    <t>ฎีกา  854</t>
  </si>
  <si>
    <t>27 ก.ค. 50</t>
  </si>
  <si>
    <t>ปรับปรุงภูมิทัศน์ วัดออกม. 3</t>
  </si>
  <si>
    <t>26 เม.ย.50</t>
  </si>
  <si>
    <t>ก่อสร้างเตาเผาขยะ ม.3</t>
  </si>
  <si>
    <t>9  ก.ค. 50</t>
  </si>
  <si>
    <t>ก่อสร้างเตาเผาขยะ ม.7</t>
  </si>
  <si>
    <t>ก่อสร้างเตาเผาขยะ ม.9</t>
  </si>
  <si>
    <t>ก่อสร้างเตาเผาขยะ ม.12</t>
  </si>
  <si>
    <t>ก่อสร้างเสาธงหน้าที่ทำการ</t>
  </si>
  <si>
    <t>26 ต.ค. 49</t>
  </si>
  <si>
    <t>ก่อสร้างโรงเก็บรถยนต์</t>
  </si>
  <si>
    <t>ฏีกา  210</t>
  </si>
  <si>
    <t>7 มี.ค. 50</t>
  </si>
  <si>
    <t>ก่อสร้างสถานที่จอดรถ</t>
  </si>
  <si>
    <t>4850*4</t>
  </si>
  <si>
    <t>550*4</t>
  </si>
  <si>
    <t>อาคาร</t>
  </si>
  <si>
    <t>ค่าถมดิน</t>
  </si>
  <si>
    <t>เสาธง</t>
  </si>
  <si>
    <t>รั้ว</t>
  </si>
  <si>
    <t>สถานที่จอดรถ</t>
  </si>
  <si>
    <t>อ่างล้างมือที่แปรงฟันนักเรียน</t>
  </si>
  <si>
    <t>เตาเผาขยะ</t>
  </si>
  <si>
    <t>ขยายท่อเมนประปา</t>
  </si>
  <si>
    <t>ระบบประปาหมู่บ้าน</t>
  </si>
  <si>
    <t>ก่อสร้างประตูระบายน้ำบ้านโคกสูง ม.6</t>
  </si>
  <si>
    <t>ก่อสร้างระบบประปา ม.8</t>
  </si>
  <si>
    <t>27 เม.ย. 50</t>
  </si>
  <si>
    <t>94/43</t>
  </si>
  <si>
    <t>168/43</t>
  </si>
  <si>
    <t>31 ก.ค 44</t>
  </si>
  <si>
    <t>140/209</t>
  </si>
  <si>
    <t>8 ก.ค 46</t>
  </si>
  <si>
    <t xml:space="preserve"> 158/231</t>
  </si>
  <si>
    <t xml:space="preserve"> 159/232</t>
  </si>
  <si>
    <t xml:space="preserve"> 191/279</t>
  </si>
  <si>
    <t xml:space="preserve"> 78/78</t>
  </si>
  <si>
    <t xml:space="preserve"> 55/55</t>
  </si>
  <si>
    <t xml:space="preserve"> 56/56</t>
  </si>
  <si>
    <t xml:space="preserve"> 74/74</t>
  </si>
  <si>
    <t>19 เม.ย47</t>
  </si>
  <si>
    <t>19 ส.ค 47</t>
  </si>
  <si>
    <t>86/86</t>
  </si>
  <si>
    <t>ก่อสร้างศาลาเอนกประสงค์ ม.1</t>
  </si>
  <si>
    <t>ค่าขยายท่อประปาหมู่บ้าน ม.2</t>
  </si>
  <si>
    <t>ก่อสร้างระบบประปาหมู่บ้าน แบบ</t>
  </si>
  <si>
    <t>บาดาลขนาดกลางม.6 โคกหลวง</t>
  </si>
  <si>
    <t>16 ส.ค. 50</t>
  </si>
  <si>
    <t>E-Action</t>
  </si>
  <si>
    <t>รายจ่ายรอจ่าย</t>
  </si>
  <si>
    <t>เงินส่งเสริมและพัฒนาองค์ความรู้ให้แก่บุคลากรอปท.</t>
  </si>
  <si>
    <t>ค่าอาหารเสริม(นม) สปช และศพด  รวม 8  แห่ง</t>
  </si>
  <si>
    <t>เงินส่งเสริมสนับสนุนกิจกรรมเด็กและครอบครัว</t>
  </si>
  <si>
    <t xml:space="preserve">เงินสะสม  </t>
  </si>
  <si>
    <t>ค่าขุดเจาะบ่อบาดาลบ้านโคกหลวง ม.6</t>
  </si>
  <si>
    <t>ขยายเขตไฟฟ้าสาธารณ ม.1 บ้านบางแค</t>
  </si>
  <si>
    <t>NF 110 (WAVE) ขนาด HONDA ขกท757</t>
  </si>
  <si>
    <t>FDI110 สแช จูเนียร์  SUSUKI     495</t>
  </si>
  <si>
    <t>ลิตร มิตซูบิซิ รุ่น ฟูโร่  ป.5321 นศ</t>
  </si>
  <si>
    <t>อีซูซุ  รุ่น TFS 55 HPY  บท9941 นศ</t>
  </si>
  <si>
    <t>ฝาผนังทั้ง 2 ด้านพร้อมปูพื้นไม้ปาเก้</t>
  </si>
  <si>
    <t>ปลัด/คลัง</t>
  </si>
  <si>
    <t>19 พ.ค 43</t>
  </si>
  <si>
    <t>ขยายเขตไฟฟ้าสาธารณ ม.10 บ้านหัวเสม็ด</t>
  </si>
  <si>
    <t>ค่าซ่อมแซมถนนสายซอยนางนวล  ม.6, 11</t>
  </si>
  <si>
    <t>ค่าปรับปรุงถนนสายสระโพธิ์ - ท่าเสาร์ ม.4, 6</t>
  </si>
  <si>
    <t>ค่าปรับปรุงถนนสายต้นตาล - บ้านโคกคุระ  ม.5</t>
  </si>
  <si>
    <t>ค่าปรับปรุงถนนสายเศรษฐกิจพอเพียง ม.2, 7</t>
  </si>
  <si>
    <t>ค่าปรับปรุงถนนสายซอยเปรมประชา ม.1</t>
  </si>
  <si>
    <t>ค่าปรับปรุงถนนสายซอยคุณน้อง ม.9</t>
  </si>
  <si>
    <t>ค่าปรับปรุงถนนซอยนิคมพัฒนา ม.1</t>
  </si>
  <si>
    <t>ค่าปรับปรุงถนนซอยนางดับ หนูยิ้มซ้าย ม.1</t>
  </si>
  <si>
    <t>ค่าซ่อมแซมถนนสายบ้านท้อมแฉ้ ม.7</t>
  </si>
  <si>
    <t>ค่าปรับปรุงถนนสายฟื้นฟูเศรษฐกิจ ม.3</t>
  </si>
  <si>
    <t>ค่าปรับปรุงถนนสายบ้านนายผล - ศูนย์ราชการใหม่ ม.12</t>
  </si>
  <si>
    <t>ค่าปรับปรุงถนนสายบ้านหนำหยอม-โคกหลวง ม.6</t>
  </si>
  <si>
    <t>ค่าบุกเบิกถนนสายจากถนน(หัวไทร-ตรงเตียง)-มาบขวางม.2</t>
  </si>
  <si>
    <t>ค่าขุดลอกเหมืองส่งน้ำสายไร่นาสวนผสม ม.4</t>
  </si>
  <si>
    <t>เงินผลประโยชน์ตอบแทนอื่นเป็นกรณีพิเศษ</t>
  </si>
  <si>
    <t>รวมจ่ายขาดเงินสะสม</t>
  </si>
  <si>
    <t>รวมรายจ่ายค้างจ่าย</t>
  </si>
  <si>
    <t>11)</t>
  </si>
  <si>
    <t>12)</t>
  </si>
  <si>
    <t>13)</t>
  </si>
  <si>
    <t>14)</t>
  </si>
  <si>
    <t>15)</t>
  </si>
  <si>
    <t>16)</t>
  </si>
  <si>
    <t>17)</t>
  </si>
  <si>
    <t>18)</t>
  </si>
  <si>
    <t>ค่าอาหารกลางวันศพด.วัดหัวลำภู</t>
  </si>
  <si>
    <t>400 51 0067</t>
  </si>
  <si>
    <t>30  ก.ค  51</t>
  </si>
  <si>
    <t>เครื่องคอมพิวเตอร์พร้อม</t>
  </si>
  <si>
    <t>อุปกรณ์ต่อพ่วง 1 ชุด</t>
  </si>
  <si>
    <t>416 51 0010</t>
  </si>
  <si>
    <t>20  ก.พ  51</t>
  </si>
  <si>
    <t>20)</t>
  </si>
  <si>
    <t xml:space="preserve"> รั้ว</t>
  </si>
  <si>
    <t xml:space="preserve"> สถานที่จอดรถ</t>
  </si>
  <si>
    <t xml:space="preserve">  ขุดสระ</t>
  </si>
  <si>
    <t>ก่อสร้างลานกีฬาเอนกประสงค์(อบต.)</t>
  </si>
  <si>
    <t xml:space="preserve"> ก่อสร้างลานกีฬา</t>
  </si>
  <si>
    <t>ขุดสระเก็บน้ำที่ทำการ (อบต.)หัวไทร</t>
  </si>
  <si>
    <t xml:space="preserve"> ก่อสร้างประตูระบายน้ำ </t>
  </si>
  <si>
    <t xml:space="preserve"> ก่อสร้างประตูระบายน้ำโรงสูบน้ำ</t>
  </si>
  <si>
    <t>และติดตั้งเครื่องสูบาน้ำ หมู่ที่ 3</t>
  </si>
  <si>
    <t>23 ก.ค 53</t>
  </si>
  <si>
    <t>486 51 0002</t>
  </si>
  <si>
    <t>416 51 0011</t>
  </si>
  <si>
    <t>ชุดไมโครโฟนสำหรับ</t>
  </si>
  <si>
    <t>ห้องประชุม(17ชิ้น) 1 ชุด</t>
  </si>
  <si>
    <t>โทรทัศน์สีจอแบน 21 นิ้ว</t>
  </si>
  <si>
    <t>456 51 0003</t>
  </si>
  <si>
    <t>444 51 0001</t>
  </si>
  <si>
    <t>จอรับภาพชนิดมือดึง</t>
  </si>
  <si>
    <t>ม.6</t>
  </si>
  <si>
    <t>8 ก.ย 38</t>
  </si>
  <si>
    <t>29 ก.ย 38</t>
  </si>
  <si>
    <t>30 ส.ค 39</t>
  </si>
  <si>
    <t>2  ก.ย 39</t>
  </si>
  <si>
    <t>3  มี.ค  40</t>
  </si>
  <si>
    <t>16 ก.ค 40</t>
  </si>
  <si>
    <t>1 ก.ย 40</t>
  </si>
  <si>
    <t>29 ก.ย 41</t>
  </si>
  <si>
    <t>18 ม.ค 42</t>
  </si>
  <si>
    <t>24 เม.ย 42</t>
  </si>
  <si>
    <t>13 ก.ย 42</t>
  </si>
  <si>
    <t>6 ม.ค 43</t>
  </si>
  <si>
    <t>19 พ.ค  43</t>
  </si>
  <si>
    <t>29 เม.ย 43</t>
  </si>
  <si>
    <t>14 มิ.ย 43</t>
  </si>
  <si>
    <t>12 ต.ค 43</t>
  </si>
  <si>
    <t>28 ม.ค 44</t>
  </si>
  <si>
    <t>25 มิ.ย 44</t>
  </si>
  <si>
    <t>10 พ.ค 44</t>
  </si>
  <si>
    <t>20 ส.ค 44</t>
  </si>
  <si>
    <t>24 ก.ย 44</t>
  </si>
  <si>
    <t>12 มิ.ย 45</t>
  </si>
  <si>
    <t>17 ก.ค 45</t>
  </si>
  <si>
    <t>11 ก.ย 45</t>
  </si>
  <si>
    <t>24 ก.ย 45</t>
  </si>
  <si>
    <t>26 ก.ย 45</t>
  </si>
  <si>
    <t>19 พ.ย 45</t>
  </si>
  <si>
    <t>3 ม.ค 46</t>
  </si>
  <si>
    <t>21 ก.พ 46</t>
  </si>
  <si>
    <t>18 ส.ค 46</t>
  </si>
  <si>
    <t>5 ก.ย 46</t>
  </si>
  <si>
    <t>22 ก.ย 46</t>
  </si>
  <si>
    <t>30 มิ.ย 46</t>
  </si>
  <si>
    <t>18 ต.ค  45</t>
  </si>
  <si>
    <t>16 เม.ย 46</t>
  </si>
  <si>
    <t>7 มิ.ย 47</t>
  </si>
  <si>
    <t>28 ก.ย 47</t>
  </si>
  <si>
    <t>14 ก.ย 47</t>
  </si>
  <si>
    <t>4  พ.ค 48</t>
  </si>
  <si>
    <t>22 เม.ย 48</t>
  </si>
  <si>
    <t>22 ส.ค 48</t>
  </si>
  <si>
    <t>22 ก.พ 48</t>
  </si>
  <si>
    <t>10 ก.พ 49</t>
  </si>
  <si>
    <t>20 ธ.ค 49</t>
  </si>
  <si>
    <t>27 ธ.ค 49</t>
  </si>
  <si>
    <t>5 เม.ย 49</t>
  </si>
  <si>
    <t>22  มี.ค. 49</t>
  </si>
  <si>
    <t>10  ก.พ. 49</t>
  </si>
  <si>
    <t>28  ก.พ. 49</t>
  </si>
  <si>
    <t xml:space="preserve">  8  มิ.ย.  49</t>
  </si>
  <si>
    <t>22 มี.ค. 49</t>
  </si>
  <si>
    <t>464 52  0001-7</t>
  </si>
  <si>
    <t>น.ศ</t>
  </si>
  <si>
    <t>14 ธ.ค 50</t>
  </si>
  <si>
    <t>เพียง  ณ วันที่   30  กันยายน 2554</t>
  </si>
  <si>
    <t>เงินยืม-เงินงบประมาณ</t>
  </si>
  <si>
    <t>10 ก.ย 51</t>
  </si>
  <si>
    <t>30 มิ.ย 51</t>
  </si>
  <si>
    <t>090 51 0001</t>
  </si>
  <si>
    <t>ชุดทดสอบความหนาแน่น</t>
  </si>
  <si>
    <t>ของพื้นดิน จำนวน 1 ชุด</t>
  </si>
  <si>
    <t>21  ม.ค 51</t>
  </si>
  <si>
    <t>รายได้จากการจำหน่ายน้ำ</t>
  </si>
  <si>
    <t>484 51 0003</t>
  </si>
  <si>
    <t>20 ก.พ  51</t>
  </si>
  <si>
    <t>เครื่องพริ้นเตอร์  1 เครื่อง</t>
  </si>
  <si>
    <t>400  38 0003-7</t>
  </si>
  <si>
    <t>007 50 0008</t>
  </si>
  <si>
    <t>270 49 0001</t>
  </si>
  <si>
    <t>110 49 0002</t>
  </si>
  <si>
    <t>284 49 0001</t>
  </si>
  <si>
    <t>277  49 0001</t>
  </si>
  <si>
    <t>285 49 0001</t>
  </si>
  <si>
    <t>109 50 0003</t>
  </si>
  <si>
    <t>109 50 0004</t>
  </si>
  <si>
    <t>เงินอุดหนุนถ่ายโอนบุคลากร</t>
  </si>
  <si>
    <t>ค่ารักษาพยาบาลลูกจ้างประจำสถานีสูบน้ำ</t>
  </si>
  <si>
    <t>เงินอุดหนุนศูนย์ข้อมูลข่าวสาร อปท.</t>
  </si>
  <si>
    <t>เงินอุดหนุนศูนย์ข้อมูลข่าวสาร  อปท. อำเภอหัวไทร</t>
  </si>
  <si>
    <t>เงินสำรองเงินรายรับ</t>
  </si>
  <si>
    <t>ค่าติดตั้งไฟฟ้าสาธารณะบ้านท่อมแฉ้ จุดที่ 1 ม.7 50%หลัง</t>
  </si>
  <si>
    <t>ค่าติดตั้งไฟฟ้าสาธารณะบ้านลำคลอง จุดที่ 2 ม.7 50%หลัง</t>
  </si>
  <si>
    <t>ค่าติดตั้งไฟฟ้าสาธารณะบ้านคลองขุด จุดที่ 2 ม.11 50%หลัง</t>
  </si>
  <si>
    <t>ค่าติดตั้งไฟฟ้าสาธารณะบ้านพัฒนา จุดที่ 1 ม.11 50%หลัง</t>
  </si>
  <si>
    <t>ค่าติดตั้งไฟฟ้าสาธารณะบ้านหัวลำภูตก 1 ม.4 50%หลัง</t>
  </si>
  <si>
    <t>ค่าติดตั้งไฟฟ้าสาธารณะบ้านท่าช้างสาร ม.8 50%  หลัง</t>
  </si>
  <si>
    <t>ค่าติดตั้งไฟฟ้าสาธารณะบ้านบางขอน ม.8 50%  หลัง</t>
  </si>
  <si>
    <t>รวมรายจ่ายเงินอุดหนุนถ่ายโอนบุคลากร</t>
  </si>
  <si>
    <t>รวมรายจ่ายเงินอุดหนุนศูนย์ข้อมูลข่าวสาร อปท.</t>
  </si>
  <si>
    <t>รวมรายจ่ายเงินสำรองเงินรายรับ</t>
  </si>
  <si>
    <t>-5-</t>
  </si>
  <si>
    <t>งบเงินสะสม</t>
  </si>
  <si>
    <t>บวก</t>
  </si>
  <si>
    <t>รายจ่ายค้างจ่ายเหลือจ่าย</t>
  </si>
  <si>
    <t>หัก</t>
  </si>
  <si>
    <t>จ่ายขาดเงินสะสม</t>
  </si>
  <si>
    <t>ลูกหนี้-ภาษีบำรุงท้องที่</t>
  </si>
  <si>
    <t>ลูกหนี้-ภาษีโรงเรือนและที่ดิน</t>
  </si>
  <si>
    <t>ลูกหนี้-ภาษีป้าย</t>
  </si>
  <si>
    <t>เงินอุดหนุนทั่วไปที่ระบุวัตถุประสงค์</t>
  </si>
  <si>
    <t>โต๊ะไม้มี 2 ลิ้นชักพร้อมเก้าอี้</t>
  </si>
  <si>
    <t>105/40</t>
  </si>
  <si>
    <t>โต๊ะทำงานระดับ 3-6พร้อมเก้าอี้</t>
  </si>
  <si>
    <t>27/43</t>
  </si>
  <si>
    <t>287-290/48</t>
  </si>
  <si>
    <t>357/48</t>
  </si>
  <si>
    <t>โต๊ะทำงานระดับ --2พร้อมเก้าอี้</t>
  </si>
  <si>
    <t>277/49</t>
  </si>
  <si>
    <t>400 49 0043--44</t>
  </si>
  <si>
    <t>400 48 0022--32</t>
  </si>
  <si>
    <t>400 48 0033--42</t>
  </si>
  <si>
    <t>400 49 0045--60</t>
  </si>
  <si>
    <t>31 ส.ค 49</t>
  </si>
  <si>
    <t>900/49</t>
  </si>
  <si>
    <t>21 ม.ค 51</t>
  </si>
  <si>
    <t>245/51</t>
  </si>
  <si>
    <t>โต๊ะคอมพ์พร้อมเก้าอี้</t>
  </si>
  <si>
    <t>โต๊ะพร้อมเก้าอี้เด็กเล็กขนาด  6 ที่นั่ง( 1ชุด ประกอบด้วยโต๊ะ 1 ตัวและเก้าอี้1 ตัว)</t>
  </si>
  <si>
    <t>30 มิ.ย 53</t>
  </si>
  <si>
    <t>978/52</t>
  </si>
  <si>
    <t>400 52 0068-75</t>
  </si>
  <si>
    <t>400 51 0061-66</t>
  </si>
  <si>
    <t>ศพด.วัดหัวลำภูและศพดวัดทะเลปังแห่งละ 4 ชุด</t>
  </si>
  <si>
    <t xml:space="preserve"> 8/2538</t>
  </si>
  <si>
    <t xml:space="preserve"> 7/2538</t>
  </si>
  <si>
    <t xml:space="preserve"> 6/2538</t>
  </si>
  <si>
    <t xml:space="preserve"> 56/2540</t>
  </si>
  <si>
    <t xml:space="preserve"> 25/2543</t>
  </si>
  <si>
    <t xml:space="preserve"> 36/059</t>
  </si>
  <si>
    <t>โต๊ะไม้ธรรมดา  ขนาด 58"X35"</t>
  </si>
  <si>
    <t xml:space="preserve"> 131/192</t>
  </si>
  <si>
    <t xml:space="preserve"> 15/63</t>
  </si>
  <si>
    <t>โต๊ะทำงานระดับ 2  พร้อมเก้าอี้</t>
  </si>
  <si>
    <t>เก้าอี้ชนิดหมุนได้ มีล้อ</t>
  </si>
  <si>
    <t>8  ก.ย 39</t>
  </si>
  <si>
    <t xml:space="preserve">    เก้าอี้   (โต๊ะคอมพ์พร้อมเก้าอี้)</t>
  </si>
  <si>
    <t xml:space="preserve">    เก้าอี้   (โต๊ะประชุม)</t>
  </si>
  <si>
    <t>401 43 0025</t>
  </si>
  <si>
    <t>401 43 0024</t>
  </si>
  <si>
    <t xml:space="preserve">    เก้าอี้   (โต๊ะเขียนแบบ)</t>
  </si>
  <si>
    <t>8  ก.ย 38</t>
  </si>
  <si>
    <t>5/2538</t>
  </si>
  <si>
    <t>7/2538</t>
  </si>
  <si>
    <t>ตู้เหล็ก 15 ลิ้นชัก</t>
  </si>
  <si>
    <t>5 ก.ย 39</t>
  </si>
  <si>
    <t>แผนงานบริหารงานทั่วไป</t>
  </si>
  <si>
    <t>แผนงานเคหะและชุมชน</t>
  </si>
  <si>
    <t>เงินสะสม 1 ตุลาคม 2551</t>
  </si>
  <si>
    <t>เงินรับฝาก</t>
  </si>
  <si>
    <t>(หมายเหตุ 2)</t>
  </si>
  <si>
    <t>คงเหลือ</t>
  </si>
  <si>
    <t>ภาษีหัก ณ ที่จ่าย</t>
  </si>
  <si>
    <t>ค่าใช้จ่ายภาษีบำรุงท้องที่ 5%</t>
  </si>
  <si>
    <t>ค่าส่วนลดภาษีบำรุงท้องที่ 6%</t>
  </si>
  <si>
    <t>เงินมัดจำประกันสัญญา</t>
  </si>
  <si>
    <t>เงินค่ากระแสไฟฟ้า-เกษตรกร</t>
  </si>
  <si>
    <t>งบแสดงฐานะการเงิน</t>
  </si>
  <si>
    <t>ทรัพย์สิน</t>
  </si>
  <si>
    <t>ทรัพย์สินตามงบทรัพย์สิน</t>
  </si>
  <si>
    <t>(หมายเหตุ 1)</t>
  </si>
  <si>
    <t>เงินฝากสำนักงานกลางส่งเสริมอาชีพ</t>
  </si>
  <si>
    <t>เงินฝาก กสอ.</t>
  </si>
  <si>
    <t xml:space="preserve">เงินรับฝากต่าง ๆ </t>
  </si>
  <si>
    <t>(หมายเหตุ 4)</t>
  </si>
  <si>
    <t>(หมายเหตุ 5)</t>
  </si>
  <si>
    <t>(หมายเหตุ 6)</t>
  </si>
  <si>
    <t xml:space="preserve">เงินสะสม </t>
  </si>
  <si>
    <t>รายรับจริงสูงกว่ารายจ่ายจริง</t>
  </si>
  <si>
    <t>หัก 25% ของรายรับจริงสูงกว่ารายจ่ายจริง (เงินทุนสำรองเงินสะสม)</t>
  </si>
  <si>
    <t>รายจ่ายรอจ่ายเหลือจ่าย</t>
  </si>
  <si>
    <t>รับเงินสะสมระหว่างปี</t>
  </si>
  <si>
    <t>เงินอุดหนุนเฉพาะกิจเหลือจ่าย</t>
  </si>
  <si>
    <t>เงินสะสม 30 กันยายน 2552</t>
  </si>
  <si>
    <t>เงินสะสม     30  กันยายน 2552   ประกอบด้วย</t>
  </si>
  <si>
    <t>1. ลูกหนี้ค่าภาษี</t>
  </si>
  <si>
    <t>2. เงินสะสมที่สามารถนำไปใช้ได้</t>
  </si>
  <si>
    <t>องค์การบริหารส่วนตำบลหัวไทร อำเภอหัวไทร  จังหวัดนครศรีธรรมราช</t>
  </si>
  <si>
    <t>หมายเหตุ 8</t>
  </si>
  <si>
    <t xml:space="preserve">                      ในงวดต่อไป  รายละเอียดปรากฎตามหมายเหตุ 8.1 </t>
  </si>
  <si>
    <t>หมวด/ประเภท</t>
  </si>
  <si>
    <t>ก่อหนี้ผูกพัน</t>
  </si>
  <si>
    <t>เบิกจ่ายแล้ว</t>
  </si>
  <si>
    <t>ระบบประปา อบต.</t>
  </si>
  <si>
    <t>57/40</t>
  </si>
  <si>
    <t>ชนิดเติมหมึก " แอคโทรแฟ็กซ์"</t>
  </si>
  <si>
    <t>NPEรุ่น V-ST 802  จำนวน 4 ตัว</t>
  </si>
  <si>
    <t>กล้องถ่ายรูป</t>
  </si>
  <si>
    <t>ถมดินหน้าบริเวณที่ทำการอบต.</t>
  </si>
  <si>
    <t xml:space="preserve"> 9 พ.ย 48</t>
  </si>
  <si>
    <t>ค่าติดตั้งหม้อแปลง</t>
  </si>
  <si>
    <t>ค่าที่ดิน</t>
  </si>
  <si>
    <t>หมายเหตุ 1</t>
  </si>
  <si>
    <t>หมายเหตุ  ประกอบงบแสดงฐานะการเงิน</t>
  </si>
  <si>
    <t>เงินสด  เงินฝากธนาคาร     (หมายเหตุ 2)</t>
  </si>
  <si>
    <t>เงินสด</t>
  </si>
  <si>
    <t xml:space="preserve">    (หมายเหตุ  4)</t>
  </si>
  <si>
    <t>เงินอุดหนุน-ศูนย์ข้อมูลอปท.</t>
  </si>
  <si>
    <t>รายจ่ายผัดส่งใบสำคัญ    (หมายเหตุ 6 )</t>
  </si>
  <si>
    <t>ไม่ก่อหนี้ผู้กพัน</t>
  </si>
  <si>
    <t>รายงานรายจ่ายในการดำเนินงานที่จ่ายจากเงินรายรับตามแผนงาน  สาธารณสุข</t>
  </si>
  <si>
    <t>เงินฝากธนาคาร</t>
  </si>
  <si>
    <t>ธ.ก.ส</t>
  </si>
  <si>
    <t>กรุงไทย</t>
  </si>
  <si>
    <t>ประเภท กระแสรายวัน   08-6010-20-067844-4</t>
  </si>
  <si>
    <t>ประเภท ออมทรัพย์   715-2-41562-7</t>
  </si>
  <si>
    <t>ประเภท ออมทรัพย์   715-2-46719-5</t>
  </si>
  <si>
    <t>ออมสิน</t>
  </si>
  <si>
    <t xml:space="preserve">               หมายเหตุ  ประกอบงบแสดงฐานะการเงิน</t>
  </si>
  <si>
    <t>เงินสด เงินฝากธนาคาร</t>
  </si>
  <si>
    <t>หมายเหตุ  5</t>
  </si>
  <si>
    <t>องค์การบริหารส่วนตำบลหัวไทร   อำเภอหัวไทร  จังหวัดนครศรีธรรมราช</t>
  </si>
  <si>
    <t>เงินอุดหนุนเฉพาะกิจค้างจ่าย</t>
  </si>
  <si>
    <t>(เงินอุดหนุนเฉพาะกิจที่ได้ก่อหนี้ผูกันและยังไม่ได้เบิกจ่ายและเบิกจ่ายไม่ทัน)</t>
  </si>
  <si>
    <t>ลำดับ</t>
  </si>
  <si>
    <t>จำนวนเงินตาม</t>
  </si>
  <si>
    <t>ใบอนุมัติประจำงวด</t>
  </si>
  <si>
    <t>หมายเหตุ 7</t>
  </si>
  <si>
    <t>บริหารงาน</t>
  </si>
  <si>
    <t>การรักษาความ</t>
  </si>
  <si>
    <t xml:space="preserve">                     (นางข้อหนัน  เจะดุหมัน)                      (นายเสน่ห์  อ่อนเกตุพล)                          (นายสุทัศน์   พูลเสน)</t>
  </si>
  <si>
    <t xml:space="preserve">                         หัวหน้าส่วนการคลัง                     ปลัดองค์การบริหารส่วนตำบล           นายกองค์การบริหารส่วนตำบลหัวไทร</t>
  </si>
  <si>
    <t xml:space="preserve">                          (นางข้อหนัน  เจะดุหมัน)                      (นายเสน่ห์  อ่อนเกตุพล)                          (นายสุทัศน์   พูลเสน)</t>
  </si>
  <si>
    <t xml:space="preserve">                              หัวหน้าส่วนการคลัง                  ปลัดองค์การบริหารส่วนตำบล           นายกองค์การบริหารส่วนตำบลหัวไทร</t>
  </si>
  <si>
    <t>การศึกษา</t>
  </si>
  <si>
    <t>สาธารณสุข</t>
  </si>
  <si>
    <t>สังคมสงเคราะห์</t>
  </si>
  <si>
    <t>เคหะและขุมชน</t>
  </si>
  <si>
    <r>
      <t xml:space="preserve">หมายเหตุ </t>
    </r>
    <r>
      <rPr>
        <sz val="14"/>
        <rFont val="AngsanaUPC"/>
        <family val="1"/>
      </rPr>
      <t xml:space="preserve"> ในปีงบประมาณ 2553 ได้รับอนุมัติให้จ่ายขาดเงินสะสม จำนวน 8,295,006.90   บาท จะเบิกจ่าย</t>
    </r>
  </si>
  <si>
    <t>ณ   วันที่     3o  กันยายน    2553</t>
  </si>
  <si>
    <t>สร้างความเข้มแข็ง</t>
  </si>
  <si>
    <t>การศาสนาวัฒน-</t>
  </si>
  <si>
    <t>การเกษตร</t>
  </si>
  <si>
    <t>ทั่วไป</t>
  </si>
  <si>
    <t>สงบภายใน</t>
  </si>
  <si>
    <t>ของชุมชน</t>
  </si>
  <si>
    <t>ธรรมและนันทนาการ</t>
  </si>
  <si>
    <t>รายจ่าย</t>
  </si>
  <si>
    <t>ค่าครุภัณฑ์ (หมายเหตุ 1)</t>
  </si>
  <si>
    <t>ค่าที่ดินและสิ่งก่อสร้าง (หมายเหตุ 2)</t>
  </si>
  <si>
    <t>รวมรายจ่าย</t>
  </si>
  <si>
    <t>ค่าธรรมเนียมค่าปรับและใบอนุญาต</t>
  </si>
  <si>
    <t>รายได้จากสาธารณูปโภค</t>
  </si>
  <si>
    <t>รายได้จากทุน</t>
  </si>
  <si>
    <t>รายได้ที่รัฐบาลจัดสรรให้</t>
  </si>
  <si>
    <t>เงินอุดหนุนทั่วไป</t>
  </si>
  <si>
    <t>เงินอุดหนุนทั่วไป (ไม่ตั้งงบประมาณ)</t>
  </si>
  <si>
    <t>รวมรายรับ</t>
  </si>
  <si>
    <t>รายรับสูง(ต่ำ) กว่ารายจ่าย</t>
  </si>
  <si>
    <t xml:space="preserve"> งบแสดงผลการดำเนินงานจ่ายจากเงินรายรับ</t>
  </si>
  <si>
    <t>รายงานรายจ่ายในการดำเนินงานที่จ่ายจากเงินรายรับตามแผนงานรวม</t>
  </si>
  <si>
    <t>406 52 0017-18</t>
  </si>
  <si>
    <t xml:space="preserve">ค่าครุภัณฑ์  </t>
  </si>
  <si>
    <t>รายงานรายจ่ายในการดำเนินงานที่จ่ายจากเงินรายรับตามแผนงาน  งานบริหารทั่วไป</t>
  </si>
  <si>
    <t>งานบริหารทั่วไป</t>
  </si>
  <si>
    <t>งานวางแผนสถิติ</t>
  </si>
  <si>
    <t>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</si>
  <si>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</si>
  <si>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</si>
  <si>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งานบริหารทั่วไปเกี่ยวกับ</t>
  </si>
  <si>
    <t>การรักษาความสงบภายใน</t>
  </si>
  <si>
    <t>งานเทศกิจ</t>
  </si>
  <si>
    <t>งานป้องกันภัยฝ่าย</t>
  </si>
  <si>
    <t>พลเรือนและระงับอัคคีภัย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</si>
  <si>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</si>
  <si>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งานระดับก่อนวัยเรียน</t>
  </si>
  <si>
    <t>และประถมศึกษา</t>
  </si>
  <si>
    <t>งานศึกษาไม่กำหนดระดับ</t>
  </si>
  <si>
    <t>รายงานรายจ่ายในการดำเนินงานที่จ่ายจากเงินรายรับตามแผนงาน  สังคมสงเคราะห์</t>
  </si>
  <si>
    <t>งานสวัสดิการสังคมและ</t>
  </si>
  <si>
    <t>งานไฟฟ้าและถนน</t>
  </si>
  <si>
    <t>งานสวนสาธารณะ</t>
  </si>
  <si>
    <t>งานกำจัดขยะมูลฝอย</t>
  </si>
  <si>
    <t>และสิ่งปฏิกูล</t>
  </si>
  <si>
    <t>รายงานรายจ่ายในการดำเนินงานที่จ่ายจากเงินรายรับตามแผนงาน  เคหะและชุมชน</t>
  </si>
  <si>
    <t>งานส่งเสริมและสนับสนุน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</si>
  <si>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</si>
  <si>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</si>
  <si>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 การเกษตร</t>
  </si>
  <si>
    <t>งานส่งเสริมการเกษตร</t>
  </si>
  <si>
    <t>งานอนุรักษ์แหล่งน้ำและ</t>
  </si>
  <si>
    <t>ป่าไม้</t>
  </si>
  <si>
    <t>รายงานรายจ่ายในการดำเนินงานที่จ่ายจากเงินรายรับตามแผนงาน  งบกลาง</t>
  </si>
  <si>
    <t>หมายเหตุ  ประกอบงบแสดงผลการดำเนินงาน</t>
  </si>
  <si>
    <r>
      <t>หมายเหตุ 1  ค่าที่ดินและสิ่งก่อสร้าง จ่าย    จ</t>
    </r>
    <r>
      <rPr>
        <b/>
        <sz val="14"/>
        <rFont val="Cordia New"/>
        <family val="2"/>
      </rPr>
      <t>ากเงินอุดหนุนเฉพาะกิจ</t>
    </r>
  </si>
  <si>
    <r>
      <t xml:space="preserve">ค่าที่ดินและสิ่งก่อสร้างจ่าย           </t>
    </r>
    <r>
      <rPr>
        <b/>
        <sz val="14"/>
        <rFont val="Cordia New"/>
        <family val="2"/>
      </rPr>
      <t xml:space="preserve"> จากเงินรายรับ</t>
    </r>
  </si>
  <si>
    <t>หมายเหตุ 2</t>
  </si>
  <si>
    <t>รับเงินอุดหนุนเฉพาะกิจจาก</t>
  </si>
  <si>
    <t>...................................................................</t>
  </si>
  <si>
    <t xml:space="preserve"> งบแสดงผลการดำเนินงานจ่ายจากเงินรายรับและเงินสะสม</t>
  </si>
  <si>
    <t>รายงานรายจ่ายในการดำเนินงานที่จ่ายจากเงินสะสม</t>
  </si>
  <si>
    <t>องค์การบริหารส่วนตำบลหัวไทร    อำเภอหัวไทร    จังหวัดนครศรีธรรมราช</t>
  </si>
  <si>
    <t>ยกมา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</si>
  <si>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</si>
  <si>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</si>
  <si>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</si>
  <si>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</si>
  <si>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</si>
  <si>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จากงวดก่อน</t>
  </si>
  <si>
    <t>อสังหาริมทรัพย์</t>
  </si>
  <si>
    <t>รายได้ของ อบต.</t>
  </si>
  <si>
    <t>ลานเอนกประสงค์</t>
  </si>
  <si>
    <t>ค่าติดตั้งระบบไฟฟ้าที่ก่อสร้างอบต.</t>
  </si>
  <si>
    <t>ข.</t>
  </si>
  <si>
    <t>สังหาริมทรัพย์</t>
  </si>
  <si>
    <t>กรมส่งเสริมการปกครองท้องถิ่น</t>
  </si>
  <si>
    <t xml:space="preserve">                                               (นางข้อหนัน  เจะดุหมัน)                                (นายเสน่ห์  อ่อนเกตุพล)                                    (นายสุทัศน์   พูลเสน)</t>
  </si>
  <si>
    <t xml:space="preserve">                                                 หัวหน้าส่วนการคลัง                               ปลัดองค์การบริหารส่วนตำบล                    นายกองค์การบริหารส่วนตำบลหัวไทร</t>
  </si>
  <si>
    <t xml:space="preserve">                                                      หัวหน้าส่วนการคลัง                          ปลัดองค์การบริหารส่วนตำบล                  นายกองค์การบริหารส่วนตำบลหัวไทร</t>
  </si>
  <si>
    <t xml:space="preserve">                                          (นางข้อหนัน  เจะดุหมัน)                                (นายเสน่ห์  อ่อนเกตุพล)                                    (นายสุทัศน์   พูลเสน)</t>
  </si>
  <si>
    <t>939/53</t>
  </si>
  <si>
    <t>อาคารควบคุมสถานีสูบน้ำ</t>
  </si>
  <si>
    <t>อาคารสถานีสูบน้ำและโรงเก็บพัสดุ</t>
  </si>
  <si>
    <t>25 พ.ย 53</t>
  </si>
  <si>
    <t>127/53</t>
  </si>
  <si>
    <t>สถานีสูบน้ำ หมู่ที่ 3</t>
  </si>
  <si>
    <t>100 52 0003</t>
  </si>
  <si>
    <t xml:space="preserve">                                        (นางข้อหนัน  เจะดุหมัน)                                (นายเสน่ห์  อ่อนเกตุพล)                                    (นายสุทัศน์   พูลเสน)</t>
  </si>
  <si>
    <t xml:space="preserve">                                             หัวหน้าส่วนการคลัง                            ปลัดองค์การบริหารส่วนตำบล                    นายกองค์การบริหารส่วนตำบลหัวไทร</t>
  </si>
  <si>
    <t>22 ม.ค 53</t>
  </si>
  <si>
    <t>329/53</t>
  </si>
  <si>
    <t>อุปกรณ์ต่อพ่วง 1 ชุด (เครื่องปริ้น)</t>
  </si>
  <si>
    <t>15 มิ.ย 53</t>
  </si>
  <si>
    <t>บริจาค</t>
  </si>
  <si>
    <t>) กล้องถ่ายรูปอัตโนมัติ</t>
  </si>
  <si>
    <t>เครื่องตัดหญ้า</t>
  </si>
  <si>
    <t>เครื่องตัดหญ้า ยี่ห้อ HONDA</t>
  </si>
  <si>
    <t>491 53 0001-2</t>
  </si>
  <si>
    <t xml:space="preserve">15 มิ.ย 53 </t>
  </si>
  <si>
    <t>รถบรรทุกขยะ</t>
  </si>
  <si>
    <t>005 53 0001</t>
  </si>
  <si>
    <t>รถบรรทุกขยะชนิดเปิดข้างเทท้าย</t>
  </si>
  <si>
    <t>ขนาด 6 ล้อ 6 ตัน</t>
  </si>
  <si>
    <t>14  พ.ย 52</t>
  </si>
  <si>
    <t>470 53 0002</t>
  </si>
  <si>
    <t>เครื่องเจาะรูกระดาษ</t>
  </si>
  <si>
    <t>1 ก.ย 53</t>
  </si>
  <si>
    <t>1097/53</t>
  </si>
  <si>
    <t xml:space="preserve">ยี่ห้อ SR รุ่น TRM-661 W </t>
  </si>
  <si>
    <t>1  ก.ย 53</t>
  </si>
  <si>
    <t xml:space="preserve">482 51 0003 </t>
  </si>
  <si>
    <t>ก่อสร้างห้องน้ำข้างโรงเรือนเก็บพัสดุ</t>
  </si>
  <si>
    <t>286 53 0001</t>
  </si>
  <si>
    <t>ต.ค 52</t>
  </si>
  <si>
    <t xml:space="preserve"> 5/53</t>
  </si>
  <si>
    <t>ก่อสร้างระบบประปาที่ทำการ</t>
  </si>
  <si>
    <t>92/53</t>
  </si>
  <si>
    <t>001 53 0002</t>
  </si>
  <si>
    <t>ที่ดิน จำนวน 4 ไร่ 2 งาน</t>
  </si>
  <si>
    <t xml:space="preserve">66.7 ตารางวา  </t>
  </si>
  <si>
    <t>(ติดกับที่ทำการ อบต.)</t>
  </si>
  <si>
    <t>28 ม.ค 53</t>
  </si>
  <si>
    <t>332/53</t>
  </si>
  <si>
    <t>ซ่อมแซมประตูระบายน้ำ หมู่ที่ 3</t>
  </si>
  <si>
    <t>269/52</t>
  </si>
  <si>
    <t>164/53</t>
  </si>
  <si>
    <t xml:space="preserve">269/52 </t>
  </si>
  <si>
    <t>456 39 0001</t>
  </si>
  <si>
    <t>ครุภัณฑ์ไฟฟ้าและวิทยุ</t>
  </si>
  <si>
    <t>ครุภัณฑ์การเกษตร</t>
  </si>
  <si>
    <t>ครุภัณฑ์สำรวจ</t>
  </si>
  <si>
    <t>ครุภัณฑ์'สำรวจก่อสร้าง</t>
  </si>
  <si>
    <t>ครุภัณฑ์โฆษณาและเผยแพร่</t>
  </si>
  <si>
    <t>ครุภัณฑ์อื่น</t>
  </si>
  <si>
    <t>ครุภัณฑ์งานบ้านงานครัว</t>
  </si>
  <si>
    <t>แผนงาน</t>
  </si>
  <si>
    <t>งาน</t>
  </si>
  <si>
    <t>ลูกหนี้- ภาษีโรงเรือน</t>
  </si>
  <si>
    <t>(หมายเหตุ8)</t>
  </si>
  <si>
    <t>เครื่องคอมพิวเตอร์ (notebock)</t>
  </si>
  <si>
    <t>เงินรายได้</t>
  </si>
  <si>
    <t>470 52 0001</t>
  </si>
  <si>
    <t>1) เครื่องเจาะกระดาษและ</t>
  </si>
  <si>
    <t>23 ก.พ. 52</t>
  </si>
  <si>
    <t>เข้าเล่ม ยี่ห้อ Binco Come</t>
  </si>
  <si>
    <t>รุ่น Delta 2002</t>
  </si>
  <si>
    <t>488 52 0001 -</t>
  </si>
  <si>
    <t>2) แท่นยืนบรรยาย(โพเดียม)</t>
  </si>
  <si>
    <t>8  เม.ย. 52</t>
  </si>
  <si>
    <t xml:space="preserve">          '0002</t>
  </si>
  <si>
    <t>ทำด้วยไม้ จำนวน 2 ชุด</t>
  </si>
  <si>
    <t>489 52 0001</t>
  </si>
  <si>
    <t>3) ฉากกั้นสำนักงาน(ปาติชั่น)</t>
  </si>
  <si>
    <t>8  เม.ย.  52</t>
  </si>
  <si>
    <t>ทำด้วยไม้ จำนวน 1 ชุด</t>
  </si>
  <si>
    <t>490  52 0001</t>
  </si>
  <si>
    <t>ปีงบประมาณ 2554</t>
  </si>
  <si>
    <t>30  กันยายน  2554</t>
  </si>
  <si>
    <t>องค์การบริหารส่วนตำบลหัวไทร อำเภอหัวไทร จังหวัดนครศรีธรรมราช</t>
  </si>
  <si>
    <t xml:space="preserve">  นางข้อหนัน  เจะดุหมัน)                     (นายเสน่ห์  อ่อนเกตุพล)                                   (นายสุทัศน์   พูลเสน)</t>
  </si>
  <si>
    <t xml:space="preserve">   หัวหน้าส่วนการคลัง                  ปลัดองค์การบริหารส่วนตำบล                 นายกองค์การบริหารส่วนตำบลหัวไทร</t>
  </si>
  <si>
    <t>8 เม.ย. 52</t>
  </si>
  <si>
    <t>ห้องประชุม</t>
  </si>
  <si>
    <t>โครงคร่าวไม้ยกระดับสูง</t>
  </si>
  <si>
    <t>อบต.หัวไทร</t>
  </si>
  <si>
    <t>จากพื้นเดิม 0.15 ม.ขนาด</t>
  </si>
  <si>
    <t xml:space="preserve"> กว้าง 2 ม. ยาว 6.10ม. ชน</t>
  </si>
  <si>
    <t>(1) ระบบเครื่องขยายเสียง</t>
  </si>
  <si>
    <t>16 มิ.ย. 52</t>
  </si>
  <si>
    <t>ห้องประชุม อบต.</t>
  </si>
  <si>
    <t xml:space="preserve"> ประกอบด้วย</t>
  </si>
  <si>
    <t xml:space="preserve"> - ลำโพงขยายเสียงขนาด 18ล้อ</t>
  </si>
  <si>
    <t>(พร้อมอุปกรณ์ติดตั้ง) ยี่ห้อ</t>
  </si>
  <si>
    <t>462 52 0001</t>
  </si>
  <si>
    <t xml:space="preserve"> - เครื่องขยาย AC/DC 150 W</t>
  </si>
  <si>
    <t>กำลัง 300 W ยี่ห้อ NPE รุ่น</t>
  </si>
  <si>
    <t>PDA 300 จำนวน 1 เครื่อง</t>
  </si>
  <si>
    <t>491 52 0001</t>
  </si>
  <si>
    <t xml:space="preserve"> - เครื่องมิกเซอร์  ยี่ห้อ NTS</t>
  </si>
  <si>
    <t>รุ่น STEREO MEXER  M 12</t>
  </si>
  <si>
    <t>MICKLE จำนวน 1 เครื่อง</t>
  </si>
  <si>
    <t>4) เวทีห้องประชุมโดยใช้</t>
  </si>
  <si>
    <t xml:space="preserve"> - ขาไมค์ตั้งโต๊ะ รุ่น D-228A</t>
  </si>
  <si>
    <t>จำนวน 4 อัน</t>
  </si>
  <si>
    <t>492 52 0001</t>
  </si>
  <si>
    <t xml:space="preserve"> - ขาโปรเจคเตอร์ รุ่น PJ-002  </t>
  </si>
  <si>
    <t>จำนวน 1 อัน</t>
  </si>
  <si>
    <t>24 ส.ค. 52</t>
  </si>
  <si>
    <t>อุปกรณ์ครบชุด (รวมค่าใบ</t>
  </si>
  <si>
    <t>อนุญาตใช้เครื่องและค่าติดตั้ง)</t>
  </si>
  <si>
    <t>ประกอบด้วย</t>
  </si>
  <si>
    <t>494 52  0001</t>
  </si>
  <si>
    <t>ที่ทำการ</t>
  </si>
  <si>
    <t>ชนิดประจำสถานีฐานกำลังส่ง</t>
  </si>
  <si>
    <t>10 วัตต์ พร้อมอุปกรณ์ครบชุด</t>
  </si>
  <si>
    <t xml:space="preserve">จำนวน 1 เครื่อง และติดตั้ง </t>
  </si>
  <si>
    <t>เสาอากาศ 4 แร็ก</t>
  </si>
  <si>
    <t>494 52  0002</t>
  </si>
  <si>
    <t xml:space="preserve"> - เครื่องรับส่งวิทยุระบบYHF/FM</t>
  </si>
  <si>
    <t>รถยนต์อบต.</t>
  </si>
  <si>
    <t>ชนิดติดรถยนต์กำลังส่ง 10 วัตต์</t>
  </si>
  <si>
    <t>พร้อมอุปกรณ์ครบชุด จำนวน</t>
  </si>
  <si>
    <t>1 เครื่อง</t>
  </si>
  <si>
    <t>จนท.อปพร.</t>
  </si>
  <si>
    <t xml:space="preserve">ชนิดมือถือ  กำลังส่ว 5 วัตต์ </t>
  </si>
  <si>
    <t>7 เครื่อง @ 6,500.- บาท</t>
  </si>
  <si>
    <t>(1) โทรโข่งแบบสะพายไหล่</t>
  </si>
  <si>
    <t>18  ก.พ. 52</t>
  </si>
  <si>
    <t>493 52  0001</t>
  </si>
  <si>
    <t xml:space="preserve">(2) ระบบกล้องวงจรปิด </t>
  </si>
  <si>
    <t>16  มิ.ย. 52</t>
  </si>
  <si>
    <t>1. กล้องวงจรปิด จำนวน 4 ตัว</t>
  </si>
  <si>
    <t xml:space="preserve"> - รูปทรงกล้องชนิดโคมระบบ</t>
  </si>
  <si>
    <t>อินฟาเรด ภาพสี สามารถมองเห็น</t>
  </si>
  <si>
    <t>ภาพในที่มืดสนิทได้</t>
  </si>
  <si>
    <t>486 51 0003</t>
  </si>
  <si>
    <t>077 52 0014</t>
  </si>
  <si>
    <t>14 ส.ค. 52</t>
  </si>
  <si>
    <t>253 52 0001</t>
  </si>
  <si>
    <t>31 ส.ค. 52</t>
  </si>
  <si>
    <t>หนี้สินและเงินสะสม</t>
  </si>
  <si>
    <t>ทุนทรัพย์สิน</t>
  </si>
  <si>
    <t>-</t>
  </si>
  <si>
    <t>เงินสะสม</t>
  </si>
  <si>
    <t>เครดิต</t>
  </si>
  <si>
    <t>ประเภท</t>
  </si>
  <si>
    <t>องค์การบริหารส่วนตำบลหัวไทร   อำเภอหัวไทร   จังหวัดนครศรีธรรมราช</t>
  </si>
  <si>
    <t>ประมาณการ</t>
  </si>
  <si>
    <t>รายรับจริง</t>
  </si>
  <si>
    <t>+</t>
  </si>
  <si>
    <t>สูง</t>
  </si>
  <si>
    <t>ต่ำ</t>
  </si>
  <si>
    <t>รายรับตามประมาณการ</t>
  </si>
  <si>
    <t>รายจ่ายจริง</t>
  </si>
  <si>
    <t>งบกลาง</t>
  </si>
  <si>
    <t>งบทรัพย์สิน</t>
  </si>
  <si>
    <t>ประเภททรัพย์สิน</t>
  </si>
  <si>
    <t>ที่ดิน</t>
  </si>
  <si>
    <t>รวม</t>
  </si>
  <si>
    <t>รวมรายจ่ายทั้งสิ้น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</si>
  <si>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</si>
  <si>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</si>
  <si>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</si>
  <si>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</si>
  <si>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</si>
  <si>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</si>
  <si>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</si>
  <si>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</si>
  <si>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</si>
  <si>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องค์การบริหารส่วนตำบลหัวไทร</t>
  </si>
  <si>
    <t>จำนวนเงิน</t>
  </si>
  <si>
    <t>1)</t>
  </si>
  <si>
    <t>2)</t>
  </si>
  <si>
    <t>3)</t>
  </si>
  <si>
    <t>4)</t>
  </si>
  <si>
    <t>5)</t>
  </si>
  <si>
    <t>7)</t>
  </si>
  <si>
    <t>6)</t>
  </si>
  <si>
    <t>8)</t>
  </si>
  <si>
    <t>รายการ</t>
  </si>
  <si>
    <t>เดบิต</t>
  </si>
  <si>
    <t>เงินฝากธนาคาร ธ.ก.ส. (ออมทรัพย์) 715-2-41562-7</t>
  </si>
  <si>
    <t>เงินฝากธนาคาร ธ.ก.ส. (ออมทรัพย์) 715-2-46719-5</t>
  </si>
  <si>
    <t>ค่าจ้างประจำ</t>
  </si>
  <si>
    <t>เงินรับฝาก (หมายเหตุ 2)</t>
  </si>
  <si>
    <t>องค์การบริหารส่วนตำบลหัวไทร  อำเภอหัวไทร  จังหวัดนครศรีธรรมราช</t>
  </si>
  <si>
    <t>รายได้จากทรัพย์สิน</t>
  </si>
  <si>
    <t xml:space="preserve"> </t>
  </si>
  <si>
    <t>งบรายรับ-รายจ่ายตามงบประมาณ</t>
  </si>
  <si>
    <t>9)</t>
  </si>
  <si>
    <t>เลขที่เอกสาร</t>
  </si>
  <si>
    <t>ใช้ประจำที่</t>
  </si>
  <si>
    <t>หมายเหตุ</t>
  </si>
  <si>
    <t>400 38 0001-2</t>
  </si>
  <si>
    <t>ตกลงราคา</t>
  </si>
  <si>
    <t>สำนักงาน</t>
  </si>
  <si>
    <t>โต๊ะไม้ธรรมดา</t>
  </si>
  <si>
    <t>401 38 0001-22</t>
  </si>
  <si>
    <t>400 38 0008</t>
  </si>
  <si>
    <t>โต๊ะไม้  มี  2  ลิ้นชัก</t>
  </si>
  <si>
    <t>406 38 0001</t>
  </si>
  <si>
    <t>ขนาดบรรจุ 25 ปี๊บ</t>
  </si>
  <si>
    <t>455 39 0001</t>
  </si>
  <si>
    <t>439 39 0001</t>
  </si>
  <si>
    <t>406 39 0002</t>
  </si>
  <si>
    <t>ก่อสร้างศาลาเอนกประสงค์ ม.8</t>
  </si>
  <si>
    <t>โดยมีพื้นที่ใช้สอยไม่น้อยกว่า</t>
  </si>
  <si>
    <t>490  ตามรางเมตร</t>
  </si>
  <si>
    <t>ประกวด</t>
  </si>
  <si>
    <t>ราคา</t>
  </si>
  <si>
    <t>077 49 0008</t>
  </si>
  <si>
    <t>077 49 0009</t>
  </si>
  <si>
    <t>วางท่อเมนต์จ่ายน้ำประปา ม.11</t>
  </si>
  <si>
    <t>8 ส.ค 49</t>
  </si>
  <si>
    <t>ขยายท่อเมนจ่ายน้ำประปา ม.2</t>
  </si>
  <si>
    <t>ขยายท่อเมนจ่ายน้ำประปา ม.12</t>
  </si>
  <si>
    <t>ขยายท่อเมนจ่ายน้ำประปา และติดตั้ง</t>
  </si>
  <si>
    <t>15 มิ.ย 52</t>
  </si>
  <si>
    <t>ขยายท่อเมนต์ประปา</t>
  </si>
  <si>
    <t>อ่างล้างมือพร้อมที่แปรง</t>
  </si>
  <si>
    <t>โรงเรียน</t>
  </si>
  <si>
    <t>ขยายท่อเมนจ่ายน้ำประปา ม.4,8</t>
  </si>
  <si>
    <t>16 ก.ค 50</t>
  </si>
  <si>
    <t>หมู่ที่ 4,8</t>
  </si>
  <si>
    <t>แบบประปาผิวดินขนาดใหญ่ ม.2 ทะเลปัง</t>
  </si>
  <si>
    <t>109 50 0005</t>
  </si>
  <si>
    <t>110 49 0003</t>
  </si>
  <si>
    <t xml:space="preserve"> ติดตั้งระบบไฟฟ้า</t>
  </si>
  <si>
    <t>275-50 0001</t>
  </si>
  <si>
    <t>อาคารศูนย์เด็กเล็กวัดทะเลปัง ขนาด</t>
  </si>
  <si>
    <t>กว้าง 6.50 เมตรยาว 16 เมตร โดย</t>
  </si>
  <si>
    <t>มีพื้นที่ใช้สอยไม่น้อยกว่า 104 ตร.ม</t>
  </si>
  <si>
    <t>อาคารที่ทำการอบต.  เป็นอาคารคอนกรีต</t>
  </si>
  <si>
    <t>เสริมเหล็ก 2 ชั้น ขาดกว้าง</t>
  </si>
  <si>
    <t xml:space="preserve"> อาคาร</t>
  </si>
  <si>
    <t>ถมดินปรับปรุงภูมิทัศน์ที่ทำการ  อบต.</t>
  </si>
  <si>
    <t xml:space="preserve">       ณ วันที่  30 กันยายน  2553   </t>
  </si>
  <si>
    <t xml:space="preserve">       ณ วันที่  30  กันยายน  2554   </t>
  </si>
  <si>
    <t>เงินฝากธนาคาร ออมสิน (ออมทรัพย์) 05331067844-5</t>
  </si>
  <si>
    <t>รายจ่ายผัดส่งใบสำคัญ</t>
  </si>
  <si>
    <t>นอกงบประมาณ</t>
  </si>
  <si>
    <t>ค่าใบอนุญาตให้ตั้งตลาดเอกชน</t>
  </si>
  <si>
    <t>ค่าธรรมเนียมจดทะเบียนพาณิชย์</t>
  </si>
  <si>
    <t>ค่าใบอนุญาตอื่น ๆ</t>
  </si>
  <si>
    <t>เงินที่เก็บตามกฎหมายว่าด้วยอุทยานแห่งชาติ</t>
  </si>
  <si>
    <t>ค่าธรรมเนียมเกี่ยวกับการควบคุมอาคาร</t>
  </si>
  <si>
    <t>ค่าใบอนุญาตจัดตั้งสถานที่จำหน่สยอาหารหรือ</t>
  </si>
  <si>
    <t>สถานที่สะสมอาหาร หรือพื้นที่ใดซึ่งมีพื้นที่เกิน</t>
  </si>
  <si>
    <t xml:space="preserve"> 200 ตารางเมตร</t>
  </si>
  <si>
    <t>ค่าธรรมเนียมอื่น ๆ</t>
  </si>
  <si>
    <t>.</t>
  </si>
  <si>
    <t>รวเงินรายรับทั้งสิ้น</t>
  </si>
  <si>
    <t>ตั้งแต่วันที่ 1 ตุลาคม 2553   ถึงวันที่    30 กันยายน  2554</t>
  </si>
  <si>
    <t>รวมเงินตามประมาณการราย</t>
  </si>
  <si>
    <t>รายรับ(นอกงบประมาณ)</t>
  </si>
  <si>
    <t>เงินฝากธนาคาร กรุงไทย (กระแสรายวัน) 802-6-01908-3</t>
  </si>
  <si>
    <t>เงินฝากธนาคาร ออมสิน (ออมทรัพย์) 08-6010-20-067844-4</t>
  </si>
  <si>
    <t>ลูกหนี้เงินยืม-เงินงบประมาณ</t>
  </si>
  <si>
    <t>090</t>
  </si>
  <si>
    <t>เงินยืม-เงินสะสม</t>
  </si>
  <si>
    <t>รายรับ (หมายเหตุ 1)</t>
  </si>
  <si>
    <t>หมวดรายได้จากทรัพย์สิน</t>
  </si>
  <si>
    <t>เงินเดือน(ฝ่ายการเมือง)</t>
  </si>
  <si>
    <t>เงินเดือน(ฝ่ายประจำ)</t>
  </si>
  <si>
    <t>เงินรับฝาก-เงินภาษีหัก ณ ที่จ่าย</t>
  </si>
  <si>
    <t>เงินรับฝาก-เงินภาษีบำรุงท้องที่</t>
  </si>
  <si>
    <t>ก่อสร้างรั้วพร้อมป้ายที่ทำการอบต.</t>
  </si>
  <si>
    <t>ปรับปรุงภูมิทัศน์ด้านหน้าที่ทำการ อบต.</t>
  </si>
  <si>
    <t>ปรับปรุงภูมิทัศน์</t>
  </si>
  <si>
    <t>เครื่องสูบน้ำระบบประปา บ้านโคกหลวง</t>
  </si>
  <si>
    <t>113 52   0002</t>
  </si>
  <si>
    <t>400 39 0009</t>
  </si>
  <si>
    <t>ได้รับบริจาค</t>
  </si>
  <si>
    <t>จ่ายปี2553</t>
  </si>
  <si>
    <t>27/191</t>
  </si>
  <si>
    <t>40/216</t>
  </si>
  <si>
    <t xml:space="preserve">โต๊ะทำงานระดับ 3-6 มี 4 ลิ้นชัก </t>
  </si>
  <si>
    <t xml:space="preserve"> โต๊ะทำงาน</t>
  </si>
  <si>
    <t xml:space="preserve"> เก้าอี้</t>
  </si>
  <si>
    <t xml:space="preserve"> ตู้เหล็กเก็บเอกสาร</t>
  </si>
  <si>
    <t xml:space="preserve"> พัดลม</t>
  </si>
  <si>
    <t>เครื่องพิมพ์ดีด</t>
  </si>
  <si>
    <t xml:space="preserve"> เครื่องทำน้ำเย็น</t>
  </si>
  <si>
    <t xml:space="preserve"> วีดีโอ</t>
  </si>
  <si>
    <t xml:space="preserve"> รถจักรยานยนต์</t>
  </si>
  <si>
    <t>รถบรรทุกดีเซล</t>
  </si>
  <si>
    <t>รถบรรทุกน้ำ</t>
  </si>
  <si>
    <t>รถกู้ภัยเคลื่อนที่เร็ว</t>
  </si>
  <si>
    <t xml:space="preserve"> รถไถนา</t>
  </si>
  <si>
    <t>14 พ.ค 50</t>
  </si>
  <si>
    <t>ผ่าน</t>
  </si>
  <si>
    <t>485 50 0001 -17</t>
  </si>
  <si>
    <t>459 52 0001-4</t>
  </si>
  <si>
    <t>452 52 0001-4</t>
  </si>
  <si>
    <t>เครื่องพริ้นเตอร์  1 เครื่อง  HP</t>
  </si>
  <si>
    <t>ชุดไมโครโฟนสำหรับห้องประชุม</t>
  </si>
  <si>
    <t>ระบบเครื่องขยายเสียง</t>
  </si>
  <si>
    <t>ครุภัณฑ์ก่อสร้าง</t>
  </si>
  <si>
    <t xml:space="preserve">482 51 0002 </t>
  </si>
  <si>
    <t>11 ม.ค 51</t>
  </si>
  <si>
    <t>487 52 0001-2</t>
  </si>
  <si>
    <t>เครื่องมัลติมิเดีย โปรเจคเตอร์ 1 เครื่อง</t>
  </si>
  <si>
    <t>6 ม.ค 51</t>
  </si>
  <si>
    <t>ครุภัณฑ์งานบ้านและงานครัว</t>
  </si>
  <si>
    <t>3 ส.ค 48</t>
  </si>
  <si>
    <t>9  มิ.ย 48</t>
  </si>
  <si>
    <t>14  มิ.ย  48</t>
  </si>
  <si>
    <t>โอ่งน้ำ</t>
  </si>
  <si>
    <t>เครื่องอัดสำเนา</t>
  </si>
  <si>
    <t>โทรศัพท์</t>
  </si>
  <si>
    <t>โทรศัพท์  ยี่ห้อ RISH</t>
  </si>
  <si>
    <t>128/40</t>
  </si>
  <si>
    <t>โต๊ะทำงานระดับ 1-2</t>
  </si>
  <si>
    <t>418 40 0001</t>
  </si>
  <si>
    <t>413 40 0001-2</t>
  </si>
  <si>
    <t>415 40 0001</t>
  </si>
  <si>
    <t>400 40 0012-13</t>
  </si>
  <si>
    <t>406 40 0005</t>
  </si>
  <si>
    <t>ตู้เหล็กชนิด 2 บาน  สีเทา</t>
  </si>
  <si>
    <t>612 40 0001</t>
  </si>
  <si>
    <t>423 40 0001</t>
  </si>
  <si>
    <t>417 41 0001</t>
  </si>
  <si>
    <t>สอบราคา</t>
  </si>
  <si>
    <t>406 42 0006</t>
  </si>
  <si>
    <t>009 42 0001</t>
  </si>
  <si>
    <t>เครื่องขยายเสียง 1 ชุด</t>
  </si>
  <si>
    <t>602 42 0001-2</t>
  </si>
  <si>
    <t>รถไถนาชนิดเดินตาม ขนาด</t>
  </si>
  <si>
    <t>หมู่ที่  2</t>
  </si>
  <si>
    <t>สำนักปลัด</t>
  </si>
  <si>
    <t>ส่วนโยธา</t>
  </si>
  <si>
    <t>406 43 0007</t>
  </si>
  <si>
    <t>416 43 0001</t>
  </si>
  <si>
    <t>PENTIUM III 600 MHg</t>
  </si>
  <si>
    <t>401 43 0023</t>
  </si>
  <si>
    <t>Monitor 15” RAM 64 MB</t>
  </si>
  <si>
    <t>400 43 0016-17</t>
  </si>
  <si>
    <t>หอกระจายข่าวตามแบบ</t>
  </si>
  <si>
    <t>หมู่ที่ 11</t>
  </si>
  <si>
    <t>มาตรฐาน  โดยมีเสาหอ</t>
  </si>
  <si>
    <t>กระจายข่าว สูง 12 เมตร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</si>
</sst>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0"/>
    <numFmt numFmtId="202" formatCode="d\ ดดดด\ bbbb"/>
    <numFmt numFmtId="203" formatCode="d\ ดดดด\ dddd"/>
    <numFmt numFmtId="204" formatCode="d\ ดดดด\ yyyy"/>
    <numFmt numFmtId="205" formatCode="d\ \ ด\.ด\.\ yyyy"/>
    <numFmt numFmtId="206" formatCode="d\ ดดด\ yy"/>
    <numFmt numFmtId="207" formatCode="000"/>
    <numFmt numFmtId="208" formatCode="dd\ ดดดด\ yy"/>
    <numFmt numFmtId="209" formatCode="dd\ ดดด\ yy"/>
    <numFmt numFmtId="210" formatCode="dd\ ดดดด\ yyyy"/>
    <numFmt numFmtId="211" formatCode="0000000"/>
    <numFmt numFmtId="212" formatCode="0000"/>
    <numFmt numFmtId="213" formatCode="dd\ ดด\ yy"/>
    <numFmt numFmtId="214" formatCode="00000"/>
    <numFmt numFmtId="215" formatCode="\(000,000\)"/>
    <numFmt numFmtId="216" formatCode="\(000,000.00\)"/>
    <numFmt numFmtId="217" formatCode="_-* #,##0.000_-;\-* #,##0.000_-;_-* &quot;-&quot;??_-;_-@_-"/>
    <numFmt numFmtId="218" formatCode="\(* #,##0.00_-;\-* #,##0.00_-;_-* &quot;-&quot;??_-;_-@_-"/>
    <numFmt numFmtId="219" formatCode="_(* #,##0_);_(* \(#,##0\);_(* &quot;-&quot;??_);_(@_)"/>
    <numFmt numFmtId="220" formatCode="_-* #,##0.0000_-;\-* #,##0.0000_-;_-* &quot;-&quot;??_-;_-@_-"/>
    <numFmt numFmtId="221" formatCode="#,##0.0"/>
    <numFmt numFmtId="222" formatCode="#,##0.000"/>
    <numFmt numFmtId="223" formatCode="#,##0.0000"/>
    <numFmt numFmtId="224" formatCode="0.0"/>
    <numFmt numFmtId="225" formatCode="0.000"/>
    <numFmt numFmtId="226" formatCode="_-* #,##0.000_-;\-* #,##0.000_-;_-* &quot;-&quot;???_-;_-@_-"/>
  </numFmts>
  <fonts count="118">
    <font>
      <sz val="14"/>
      <name val="Cordia New"/>
      <family val="0"/>
    </font>
    <font>
      <sz val="15"/>
      <name val="Browallia New"/>
      <family val="2"/>
    </font>
    <font>
      <sz val="14"/>
      <name val="Browallia New"/>
      <family val="2"/>
    </font>
    <font>
      <i/>
      <sz val="15"/>
      <name val="Browallia New"/>
      <family val="2"/>
    </font>
    <font>
      <sz val="14"/>
      <color indexed="8"/>
      <name val="Browallia New"/>
      <family val="2"/>
    </font>
    <font>
      <b/>
      <i/>
      <sz val="14"/>
      <name val="Browallia New"/>
      <family val="2"/>
    </font>
    <font>
      <sz val="18"/>
      <name val="BrowalliaUPC"/>
      <family val="2"/>
    </font>
    <font>
      <sz val="12"/>
      <name val="BrowalliaUPC"/>
      <family val="2"/>
    </font>
    <font>
      <sz val="14"/>
      <name val="BrowalliaUPC"/>
      <family val="2"/>
    </font>
    <font>
      <sz val="13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u val="single"/>
      <sz val="12"/>
      <name val="Browallia New"/>
      <family val="2"/>
    </font>
    <font>
      <b/>
      <i/>
      <sz val="12"/>
      <name val="Browallia New"/>
      <family val="2"/>
    </font>
    <font>
      <sz val="12"/>
      <color indexed="8"/>
      <name val="Browallia New"/>
      <family val="2"/>
    </font>
    <font>
      <i/>
      <sz val="13"/>
      <name val="Browallia New"/>
      <family val="2"/>
    </font>
    <font>
      <i/>
      <sz val="12"/>
      <name val="Browallia New"/>
      <family val="2"/>
    </font>
    <font>
      <u val="single"/>
      <sz val="12"/>
      <name val="Browallia New"/>
      <family val="2"/>
    </font>
    <font>
      <b/>
      <i/>
      <sz val="13"/>
      <name val="Browallia New"/>
      <family val="2"/>
    </font>
    <font>
      <b/>
      <sz val="13"/>
      <name val="Browallia New"/>
      <family val="2"/>
    </font>
    <font>
      <i/>
      <sz val="12"/>
      <color indexed="8"/>
      <name val="Browallia New"/>
      <family val="2"/>
    </font>
    <font>
      <b/>
      <sz val="16"/>
      <name val="Browallia New"/>
      <family val="2"/>
    </font>
    <font>
      <b/>
      <sz val="14"/>
      <name val="Browallia New"/>
      <family val="2"/>
    </font>
    <font>
      <b/>
      <u val="single"/>
      <sz val="14"/>
      <name val="Browallia New"/>
      <family val="2"/>
    </font>
    <font>
      <sz val="8"/>
      <name val="Cordia New"/>
      <family val="0"/>
    </font>
    <font>
      <i/>
      <sz val="14"/>
      <name val="Browallia New"/>
      <family val="2"/>
    </font>
    <font>
      <b/>
      <i/>
      <sz val="14"/>
      <color indexed="8"/>
      <name val="Browallia New"/>
      <family val="2"/>
    </font>
    <font>
      <b/>
      <sz val="12"/>
      <name val="Cordia New"/>
      <family val="0"/>
    </font>
    <font>
      <i/>
      <sz val="14"/>
      <color indexed="8"/>
      <name val="Browallia New"/>
      <family val="2"/>
    </font>
    <font>
      <b/>
      <sz val="14"/>
      <color indexed="8"/>
      <name val="Browallia New"/>
      <family val="2"/>
    </font>
    <font>
      <u val="single"/>
      <sz val="14"/>
      <color indexed="8"/>
      <name val="Browallia New"/>
      <family val="2"/>
    </font>
    <font>
      <u val="single"/>
      <sz val="14"/>
      <name val="Browallia New"/>
      <family val="2"/>
    </font>
    <font>
      <b/>
      <sz val="14"/>
      <color indexed="12"/>
      <name val="Browallia New"/>
      <family val="2"/>
    </font>
    <font>
      <sz val="13"/>
      <name val="BrowalliaUPC"/>
      <family val="2"/>
    </font>
    <font>
      <sz val="12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Browallia New"/>
      <family val="2"/>
    </font>
    <font>
      <i/>
      <sz val="16"/>
      <name val="Browallia New"/>
      <family val="2"/>
    </font>
    <font>
      <b/>
      <sz val="15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u val="single"/>
      <sz val="14"/>
      <name val="AngsanaUPC"/>
      <family val="1"/>
    </font>
    <font>
      <sz val="14"/>
      <color indexed="10"/>
      <name val="AngsanaUPC"/>
      <family val="1"/>
    </font>
    <font>
      <sz val="10"/>
      <name val="Angsana New"/>
      <family val="1"/>
    </font>
    <font>
      <sz val="12"/>
      <name val="Angsana New"/>
      <family val="1"/>
    </font>
    <font>
      <b/>
      <u val="single"/>
      <sz val="12"/>
      <name val="Cordia New"/>
      <family val="2"/>
    </font>
    <font>
      <b/>
      <sz val="14"/>
      <name val="Cordia New"/>
      <family val="2"/>
    </font>
    <font>
      <b/>
      <sz val="12"/>
      <name val="Angsana New"/>
      <family val="1"/>
    </font>
    <font>
      <b/>
      <u val="single"/>
      <sz val="10"/>
      <name val="Angsana New"/>
      <family val="1"/>
    </font>
    <font>
      <sz val="14"/>
      <color indexed="10"/>
      <name val="Angsana New"/>
      <family val="1"/>
    </font>
    <font>
      <b/>
      <sz val="12"/>
      <color indexed="8"/>
      <name val="Browallia New"/>
      <family val="2"/>
    </font>
    <font>
      <sz val="20"/>
      <name val="Browallia New"/>
      <family val="2"/>
    </font>
    <font>
      <u val="single"/>
      <sz val="16"/>
      <name val="Browallia New"/>
      <family val="2"/>
    </font>
    <font>
      <sz val="22"/>
      <name val="Browallia New"/>
      <family val="2"/>
    </font>
    <font>
      <b/>
      <i/>
      <sz val="12"/>
      <color indexed="8"/>
      <name val="Browallia New"/>
      <family val="2"/>
    </font>
    <font>
      <b/>
      <i/>
      <sz val="12"/>
      <color indexed="12"/>
      <name val="Browallia New"/>
      <family val="2"/>
    </font>
    <font>
      <b/>
      <i/>
      <sz val="12"/>
      <color indexed="10"/>
      <name val="Browallia New"/>
      <family val="2"/>
    </font>
    <font>
      <u val="single"/>
      <sz val="12"/>
      <color indexed="8"/>
      <name val="Browallia New"/>
      <family val="2"/>
    </font>
    <font>
      <b/>
      <i/>
      <sz val="12"/>
      <color indexed="61"/>
      <name val="Browallia New"/>
      <family val="2"/>
    </font>
    <font>
      <b/>
      <sz val="12"/>
      <color indexed="12"/>
      <name val="Browallia New"/>
      <family val="2"/>
    </font>
    <font>
      <sz val="12"/>
      <color indexed="10"/>
      <name val="Angsana New"/>
      <family val="1"/>
    </font>
    <font>
      <sz val="10"/>
      <color indexed="8"/>
      <name val="Browallia New"/>
      <family val="2"/>
    </font>
    <font>
      <sz val="12"/>
      <name val="AngsanaUPC"/>
      <family val="1"/>
    </font>
    <font>
      <sz val="10"/>
      <name val="AngsanaUPC"/>
      <family val="1"/>
    </font>
    <font>
      <sz val="12"/>
      <color indexed="10"/>
      <name val="Browallia New"/>
      <family val="2"/>
    </font>
    <font>
      <sz val="11"/>
      <name val="Angsana New"/>
      <family val="1"/>
    </font>
    <font>
      <sz val="11"/>
      <color indexed="10"/>
      <name val="Angsana New"/>
      <family val="1"/>
    </font>
    <font>
      <sz val="9"/>
      <name val="Cordia New"/>
      <family val="2"/>
    </font>
    <font>
      <sz val="11"/>
      <name val="Browallia New"/>
      <family val="2"/>
    </font>
    <font>
      <i/>
      <sz val="11"/>
      <name val="Browallia New"/>
      <family val="2"/>
    </font>
    <font>
      <sz val="16"/>
      <color indexed="8"/>
      <name val="Browallia New"/>
      <family val="2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color indexed="8"/>
      <name val="Browallia New"/>
      <family val="0"/>
    </font>
    <font>
      <sz val="20"/>
      <color indexed="8"/>
      <name val="TH SarabunPSK"/>
      <family val="2"/>
    </font>
    <font>
      <b/>
      <sz val="18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8"/>
      <name val="TH SarabunPSK"/>
      <family val="2"/>
    </font>
    <font>
      <i/>
      <sz val="15"/>
      <color indexed="8"/>
      <name val="Browallia New"/>
      <family val="2"/>
    </font>
    <font>
      <b/>
      <sz val="18"/>
      <name val="Angsana New"/>
      <family val="1"/>
    </font>
    <font>
      <b/>
      <sz val="20"/>
      <name val="Angsana New"/>
      <family val="1"/>
    </font>
    <font>
      <u val="single"/>
      <sz val="14"/>
      <name val="Cordia New"/>
      <family val="2"/>
    </font>
    <font>
      <sz val="18"/>
      <name val="Cordia New"/>
      <family val="2"/>
    </font>
    <font>
      <sz val="13"/>
      <name val="Cordia New"/>
      <family val="2"/>
    </font>
    <font>
      <sz val="12"/>
      <color indexed="10"/>
      <name val="Cordia New"/>
      <family val="2"/>
    </font>
    <font>
      <sz val="14"/>
      <color indexed="10"/>
      <name val="Cordia New"/>
      <family val="2"/>
    </font>
    <font>
      <sz val="10"/>
      <name val="Cordia New"/>
      <family val="2"/>
    </font>
    <font>
      <sz val="12"/>
      <color indexed="61"/>
      <name val="Cordia New"/>
      <family val="2"/>
    </font>
    <font>
      <sz val="12"/>
      <color indexed="14"/>
      <name val="Cordia New"/>
      <family val="2"/>
    </font>
    <font>
      <sz val="14"/>
      <color indexed="14"/>
      <name val="Cordia New"/>
      <family val="2"/>
    </font>
    <font>
      <u val="single"/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b/>
      <sz val="13"/>
      <name val="Cordia New"/>
      <family val="2"/>
    </font>
    <font>
      <vertAlign val="subscript"/>
      <sz val="13"/>
      <name val="Cordia Ne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9" fillId="16" borderId="1" applyNumberFormat="0" applyAlignment="0" applyProtection="0"/>
    <xf numFmtId="0" fontId="88" fillId="0" borderId="2" applyNumberFormat="0" applyFill="0" applyAlignment="0" applyProtection="0"/>
    <xf numFmtId="9" fontId="0" fillId="0" borderId="0" applyFont="0" applyFill="0" applyBorder="0" applyAlignment="0" applyProtection="0"/>
    <xf numFmtId="0" fontId="83" fillId="3" borderId="0" applyNumberFormat="0" applyBorder="0" applyAlignment="0" applyProtection="0"/>
    <xf numFmtId="0" fontId="86" fillId="17" borderId="3" applyNumberFormat="0" applyAlignment="0" applyProtection="0"/>
    <xf numFmtId="0" fontId="87" fillId="17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5" fillId="7" borderId="4" applyNumberFormat="0" applyAlignment="0" applyProtection="0"/>
    <xf numFmtId="0" fontId="84" fillId="18" borderId="0" applyNumberFormat="0" applyBorder="0" applyAlignment="0" applyProtection="0"/>
    <xf numFmtId="0" fontId="92" fillId="0" borderId="5" applyNumberFormat="0" applyFill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22" borderId="0" applyNumberFormat="0" applyBorder="0" applyAlignment="0" applyProtection="0"/>
    <xf numFmtId="0" fontId="0" fillId="23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9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07" fontId="1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Border="1" applyAlignment="1" quotePrefix="1">
      <alignment horizontal="center"/>
    </xf>
    <xf numFmtId="0" fontId="10" fillId="0" borderId="0" xfId="0" applyFont="1" applyFill="1" applyAlignment="1">
      <alignment/>
    </xf>
    <xf numFmtId="0" fontId="10" fillId="0" borderId="11" xfId="0" applyFont="1" applyBorder="1" applyAlignment="1" quotePrefix="1">
      <alignment horizontal="center"/>
    </xf>
    <xf numFmtId="0" fontId="17" fillId="0" borderId="0" xfId="0" applyFont="1" applyFill="1" applyAlignment="1">
      <alignment/>
    </xf>
    <xf numFmtId="0" fontId="20" fillId="0" borderId="14" xfId="0" applyFont="1" applyBorder="1" applyAlignment="1">
      <alignment horizontal="center"/>
    </xf>
    <xf numFmtId="0" fontId="10" fillId="0" borderId="15" xfId="0" applyFont="1" applyBorder="1" applyAlignment="1" quotePrefix="1">
      <alignment horizontal="center"/>
    </xf>
    <xf numFmtId="200" fontId="14" fillId="0" borderId="10" xfId="35" applyNumberFormat="1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94" fontId="4" fillId="0" borderId="10" xfId="35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194" fontId="2" fillId="0" borderId="0" xfId="35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94" fontId="4" fillId="0" borderId="10" xfId="35" applyFont="1" applyBorder="1" applyAlignment="1">
      <alignment/>
    </xf>
    <xf numFmtId="194" fontId="2" fillId="0" borderId="10" xfId="35" applyFont="1" applyBorder="1" applyAlignment="1">
      <alignment/>
    </xf>
    <xf numFmtId="0" fontId="5" fillId="0" borderId="0" xfId="0" applyFont="1" applyFill="1" applyBorder="1" applyAlignment="1">
      <alignment horizontal="center"/>
    </xf>
    <xf numFmtId="194" fontId="26" fillId="0" borderId="0" xfId="35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194" fontId="2" fillId="0" borderId="15" xfId="35" applyFont="1" applyFill="1" applyBorder="1" applyAlignment="1">
      <alignment/>
    </xf>
    <xf numFmtId="0" fontId="22" fillId="0" borderId="0" xfId="0" applyFont="1" applyFill="1" applyAlignment="1">
      <alignment/>
    </xf>
    <xf numFmtId="207" fontId="2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8" fillId="0" borderId="0" xfId="0" applyFont="1" applyBorder="1" applyAlignment="1" quotePrefix="1">
      <alignment/>
    </xf>
    <xf numFmtId="0" fontId="28" fillId="0" borderId="0" xfId="0" applyFont="1" applyBorder="1" applyAlignment="1">
      <alignment/>
    </xf>
    <xf numFmtId="200" fontId="28" fillId="0" borderId="10" xfId="35" applyNumberFormat="1" applyFont="1" applyBorder="1" applyAlignment="1">
      <alignment/>
    </xf>
    <xf numFmtId="194" fontId="2" fillId="0" borderId="18" xfId="35" applyFont="1" applyBorder="1" applyAlignment="1">
      <alignment/>
    </xf>
    <xf numFmtId="194" fontId="25" fillId="0" borderId="18" xfId="35" applyFont="1" applyBorder="1" applyAlignment="1">
      <alignment/>
    </xf>
    <xf numFmtId="194" fontId="28" fillId="0" borderId="0" xfId="35" applyFont="1" applyBorder="1" applyAlignment="1">
      <alignment/>
    </xf>
    <xf numFmtId="0" fontId="25" fillId="0" borderId="0" xfId="0" applyFont="1" applyBorder="1" applyAlignment="1">
      <alignment horizontal="center"/>
    </xf>
    <xf numFmtId="194" fontId="28" fillId="0" borderId="10" xfId="35" applyFont="1" applyBorder="1" applyAlignment="1">
      <alignment/>
    </xf>
    <xf numFmtId="194" fontId="26" fillId="0" borderId="18" xfId="35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25" fillId="0" borderId="19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194" fontId="2" fillId="0" borderId="11" xfId="3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194" fontId="25" fillId="0" borderId="19" xfId="35" applyFont="1" applyFill="1" applyBorder="1" applyAlignment="1">
      <alignment/>
    </xf>
    <xf numFmtId="194" fontId="2" fillId="0" borderId="0" xfId="35" applyFont="1" applyBorder="1" applyAlignment="1">
      <alignment/>
    </xf>
    <xf numFmtId="194" fontId="2" fillId="0" borderId="15" xfId="35" applyFont="1" applyBorder="1" applyAlignment="1">
      <alignment/>
    </xf>
    <xf numFmtId="0" fontId="2" fillId="0" borderId="0" xfId="0" applyFont="1" applyAlignment="1" quotePrefix="1">
      <alignment/>
    </xf>
    <xf numFmtId="194" fontId="2" fillId="0" borderId="0" xfId="35" applyFont="1" applyAlignment="1">
      <alignment/>
    </xf>
    <xf numFmtId="194" fontId="4" fillId="0" borderId="0" xfId="35" applyFont="1" applyBorder="1" applyAlignment="1">
      <alignment/>
    </xf>
    <xf numFmtId="194" fontId="2" fillId="0" borderId="14" xfId="35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4" fillId="0" borderId="0" xfId="35" applyFont="1" applyBorder="1" applyAlignment="1">
      <alignment horizontal="center"/>
    </xf>
    <xf numFmtId="194" fontId="4" fillId="0" borderId="11" xfId="35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29" fillId="0" borderId="0" xfId="0" applyFont="1" applyBorder="1" applyAlignment="1">
      <alignment/>
    </xf>
    <xf numFmtId="194" fontId="25" fillId="0" borderId="21" xfId="35" applyFont="1" applyFill="1" applyBorder="1" applyAlignment="1">
      <alignment/>
    </xf>
    <xf numFmtId="194" fontId="2" fillId="0" borderId="22" xfId="35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94" fontId="25" fillId="0" borderId="18" xfId="35" applyFont="1" applyFill="1" applyBorder="1" applyAlignment="1">
      <alignment/>
    </xf>
    <xf numFmtId="194" fontId="4" fillId="0" borderId="15" xfId="35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194" fontId="25" fillId="0" borderId="0" xfId="35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94" fontId="25" fillId="0" borderId="24" xfId="35" applyFont="1" applyFill="1" applyBorder="1" applyAlignment="1">
      <alignment/>
    </xf>
    <xf numFmtId="194" fontId="25" fillId="0" borderId="15" xfId="35" applyFont="1" applyFill="1" applyBorder="1" applyAlignment="1">
      <alignment/>
    </xf>
    <xf numFmtId="194" fontId="25" fillId="0" borderId="23" xfId="35" applyFont="1" applyFill="1" applyBorder="1" applyAlignment="1">
      <alignment/>
    </xf>
    <xf numFmtId="194" fontId="2" fillId="0" borderId="16" xfId="35" applyFont="1" applyBorder="1" applyAlignment="1">
      <alignment/>
    </xf>
    <xf numFmtId="194" fontId="25" fillId="0" borderId="16" xfId="35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4" xfId="0" applyFont="1" applyBorder="1" applyAlignment="1">
      <alignment/>
    </xf>
    <xf numFmtId="0" fontId="29" fillId="0" borderId="24" xfId="0" applyFont="1" applyBorder="1" applyAlignment="1">
      <alignment/>
    </xf>
    <xf numFmtId="0" fontId="9" fillId="0" borderId="21" xfId="0" applyFont="1" applyBorder="1" applyAlignment="1">
      <alignment/>
    </xf>
    <xf numFmtId="194" fontId="9" fillId="0" borderId="21" xfId="0" applyNumberFormat="1" applyFont="1" applyBorder="1" applyAlignment="1">
      <alignment/>
    </xf>
    <xf numFmtId="0" fontId="9" fillId="0" borderId="16" xfId="0" applyFont="1" applyBorder="1" applyAlignment="1">
      <alignment/>
    </xf>
    <xf numFmtId="194" fontId="0" fillId="0" borderId="0" xfId="35" applyFont="1" applyAlignment="1">
      <alignment/>
    </xf>
    <xf numFmtId="194" fontId="0" fillId="0" borderId="0" xfId="3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94" fontId="2" fillId="0" borderId="0" xfId="0" applyNumberFormat="1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194" fontId="38" fillId="0" borderId="0" xfId="0" applyNumberFormat="1" applyFont="1" applyAlignment="1">
      <alignment/>
    </xf>
    <xf numFmtId="194" fontId="38" fillId="0" borderId="0" xfId="35" applyFont="1" applyBorder="1" applyAlignment="1">
      <alignment/>
    </xf>
    <xf numFmtId="194" fontId="37" fillId="0" borderId="0" xfId="35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194" fontId="4" fillId="0" borderId="0" xfId="35" applyNumberFormat="1" applyFont="1" applyBorder="1" applyAlignment="1">
      <alignment horizontal="center"/>
    </xf>
    <xf numFmtId="194" fontId="25" fillId="0" borderId="0" xfId="35" applyFont="1" applyBorder="1" applyAlignment="1">
      <alignment/>
    </xf>
    <xf numFmtId="200" fontId="4" fillId="0" borderId="0" xfId="35" applyNumberFormat="1" applyFont="1" applyBorder="1" applyAlignment="1">
      <alignment/>
    </xf>
    <xf numFmtId="200" fontId="28" fillId="0" borderId="0" xfId="35" applyNumberFormat="1" applyFont="1" applyBorder="1" applyAlignment="1">
      <alignment/>
    </xf>
    <xf numFmtId="194" fontId="28" fillId="0" borderId="0" xfId="35" applyFont="1" applyBorder="1" applyAlignment="1">
      <alignment horizontal="center"/>
    </xf>
    <xf numFmtId="194" fontId="32" fillId="0" borderId="0" xfId="35" applyFont="1" applyBorder="1" applyAlignment="1">
      <alignment/>
    </xf>
    <xf numFmtId="0" fontId="31" fillId="0" borderId="0" xfId="0" applyFont="1" applyFill="1" applyBorder="1" applyAlignment="1">
      <alignment/>
    </xf>
    <xf numFmtId="200" fontId="2" fillId="0" borderId="0" xfId="35" applyNumberFormat="1" applyFont="1" applyFill="1" applyBorder="1" applyAlignment="1">
      <alignment/>
    </xf>
    <xf numFmtId="194" fontId="2" fillId="0" borderId="0" xfId="35" applyFont="1" applyFill="1" applyBorder="1" applyAlignment="1">
      <alignment/>
    </xf>
    <xf numFmtId="194" fontId="5" fillId="0" borderId="0" xfId="35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94" fontId="40" fillId="0" borderId="0" xfId="35" applyFont="1" applyAlignment="1">
      <alignment/>
    </xf>
    <xf numFmtId="194" fontId="39" fillId="0" borderId="25" xfId="0" applyNumberFormat="1" applyFont="1" applyBorder="1" applyAlignment="1">
      <alignment/>
    </xf>
    <xf numFmtId="0" fontId="41" fillId="0" borderId="0" xfId="0" applyFont="1" applyBorder="1" applyAlignment="1">
      <alignment horizontal="left"/>
    </xf>
    <xf numFmtId="194" fontId="39" fillId="0" borderId="0" xfId="0" applyNumberFormat="1" applyFont="1" applyBorder="1" applyAlignment="1">
      <alignment/>
    </xf>
    <xf numFmtId="194" fontId="40" fillId="0" borderId="0" xfId="0" applyNumberFormat="1" applyFont="1" applyBorder="1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94" fontId="44" fillId="0" borderId="0" xfId="35" applyFont="1" applyAlignment="1">
      <alignment/>
    </xf>
    <xf numFmtId="0" fontId="46" fillId="0" borderId="0" xfId="0" applyFont="1" applyAlignment="1">
      <alignment horizontal="center"/>
    </xf>
    <xf numFmtId="194" fontId="44" fillId="24" borderId="0" xfId="35" applyFont="1" applyFill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/>
    </xf>
    <xf numFmtId="194" fontId="44" fillId="0" borderId="0" xfId="35" applyFont="1" applyBorder="1" applyAlignment="1">
      <alignment/>
    </xf>
    <xf numFmtId="194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94" fontId="45" fillId="0" borderId="25" xfId="35" applyFont="1" applyBorder="1" applyAlignment="1">
      <alignment/>
    </xf>
    <xf numFmtId="194" fontId="44" fillId="0" borderId="0" xfId="0" applyNumberFormat="1" applyFont="1" applyBorder="1" applyAlignment="1">
      <alignment/>
    </xf>
    <xf numFmtId="0" fontId="44" fillId="0" borderId="0" xfId="0" applyFont="1" applyAlignment="1">
      <alignment horizontal="left" indent="3"/>
    </xf>
    <xf numFmtId="194" fontId="45" fillId="0" borderId="25" xfId="0" applyNumberFormat="1" applyFont="1" applyBorder="1" applyAlignment="1">
      <alignment/>
    </xf>
    <xf numFmtId="0" fontId="45" fillId="0" borderId="0" xfId="0" applyFont="1" applyAlignment="1">
      <alignment/>
    </xf>
    <xf numFmtId="194" fontId="43" fillId="0" borderId="0" xfId="35" applyFont="1" applyBorder="1" applyAlignment="1">
      <alignment/>
    </xf>
    <xf numFmtId="194" fontId="48" fillId="0" borderId="0" xfId="35" applyFont="1" applyAlignment="1">
      <alignment/>
    </xf>
    <xf numFmtId="194" fontId="48" fillId="0" borderId="0" xfId="35" applyFont="1" applyAlignment="1">
      <alignment horizontal="center"/>
    </xf>
    <xf numFmtId="194" fontId="48" fillId="0" borderId="17" xfId="35" applyFont="1" applyBorder="1" applyAlignment="1">
      <alignment horizontal="center"/>
    </xf>
    <xf numFmtId="194" fontId="44" fillId="24" borderId="0" xfId="35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34" fillId="0" borderId="16" xfId="0" applyFont="1" applyBorder="1" applyAlignment="1">
      <alignment/>
    </xf>
    <xf numFmtId="194" fontId="0" fillId="0" borderId="16" xfId="35" applyFont="1" applyBorder="1" applyAlignment="1">
      <alignment/>
    </xf>
    <xf numFmtId="0" fontId="0" fillId="0" borderId="16" xfId="0" applyFont="1" applyBorder="1" applyAlignment="1">
      <alignment/>
    </xf>
    <xf numFmtId="194" fontId="0" fillId="0" borderId="16" xfId="0" applyNumberFormat="1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94" fontId="0" fillId="0" borderId="2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26" xfId="0" applyFont="1" applyBorder="1" applyAlignment="1">
      <alignment/>
    </xf>
    <xf numFmtId="194" fontId="50" fillId="0" borderId="26" xfId="35" applyFont="1" applyBorder="1" applyAlignment="1">
      <alignment/>
    </xf>
    <xf numFmtId="0" fontId="50" fillId="0" borderId="26" xfId="0" applyFont="1" applyBorder="1" applyAlignment="1">
      <alignment/>
    </xf>
    <xf numFmtId="194" fontId="50" fillId="0" borderId="26" xfId="35" applyFont="1" applyBorder="1" applyAlignment="1">
      <alignment horizontal="center"/>
    </xf>
    <xf numFmtId="194" fontId="50" fillId="0" borderId="27" xfId="35" applyFont="1" applyBorder="1" applyAlignment="1">
      <alignment horizontal="center"/>
    </xf>
    <xf numFmtId="0" fontId="50" fillId="0" borderId="27" xfId="0" applyFont="1" applyBorder="1" applyAlignment="1">
      <alignment/>
    </xf>
    <xf numFmtId="194" fontId="50" fillId="0" borderId="28" xfId="35" applyFont="1" applyBorder="1" applyAlignment="1">
      <alignment/>
    </xf>
    <xf numFmtId="0" fontId="50" fillId="0" borderId="28" xfId="0" applyFont="1" applyBorder="1" applyAlignment="1">
      <alignment/>
    </xf>
    <xf numFmtId="194" fontId="49" fillId="0" borderId="0" xfId="0" applyNumberFormat="1" applyFont="1" applyBorder="1" applyAlignment="1">
      <alignment/>
    </xf>
    <xf numFmtId="194" fontId="50" fillId="0" borderId="29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94" fontId="50" fillId="0" borderId="0" xfId="0" applyNumberFormat="1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3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26" xfId="0" applyFont="1" applyBorder="1" applyAlignment="1">
      <alignment/>
    </xf>
    <xf numFmtId="0" fontId="51" fillId="0" borderId="14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27" xfId="0" applyFont="1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12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27" xfId="0" applyFont="1" applyBorder="1" applyAlignment="1">
      <alignment/>
    </xf>
    <xf numFmtId="0" fontId="0" fillId="0" borderId="10" xfId="0" applyBorder="1" applyAlignment="1">
      <alignment/>
    </xf>
    <xf numFmtId="194" fontId="40" fillId="0" borderId="0" xfId="35" applyFont="1" applyAlignment="1">
      <alignment horizontal="center"/>
    </xf>
    <xf numFmtId="194" fontId="37" fillId="0" borderId="0" xfId="35" applyFont="1" applyAlignment="1">
      <alignment/>
    </xf>
    <xf numFmtId="194" fontId="0" fillId="0" borderId="10" xfId="35" applyFont="1" applyBorder="1" applyAlignment="1">
      <alignment/>
    </xf>
    <xf numFmtId="0" fontId="52" fillId="0" borderId="0" xfId="0" applyFont="1" applyAlignment="1">
      <alignment/>
    </xf>
    <xf numFmtId="0" fontId="22" fillId="0" borderId="0" xfId="0" applyFont="1" applyAlignment="1">
      <alignment/>
    </xf>
    <xf numFmtId="194" fontId="38" fillId="0" borderId="25" xfId="35" applyFont="1" applyBorder="1" applyAlignment="1">
      <alignment horizontal="right"/>
    </xf>
    <xf numFmtId="194" fontId="0" fillId="0" borderId="25" xfId="35" applyFont="1" applyBorder="1" applyAlignment="1">
      <alignment/>
    </xf>
    <xf numFmtId="0" fontId="52" fillId="0" borderId="16" xfId="0" applyFont="1" applyBorder="1" applyAlignment="1">
      <alignment/>
    </xf>
    <xf numFmtId="194" fontId="43" fillId="0" borderId="30" xfId="35" applyFont="1" applyBorder="1" applyAlignment="1">
      <alignment/>
    </xf>
    <xf numFmtId="194" fontId="43" fillId="0" borderId="26" xfId="35" applyFont="1" applyBorder="1" applyAlignment="1">
      <alignment/>
    </xf>
    <xf numFmtId="194" fontId="43" fillId="0" borderId="26" xfId="35" applyFont="1" applyBorder="1" applyAlignment="1">
      <alignment horizontal="center"/>
    </xf>
    <xf numFmtId="194" fontId="43" fillId="0" borderId="27" xfId="35" applyFont="1" applyBorder="1" applyAlignment="1">
      <alignment horizontal="center"/>
    </xf>
    <xf numFmtId="194" fontId="43" fillId="0" borderId="28" xfId="35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Border="1" applyAlignment="1">
      <alignment/>
    </xf>
    <xf numFmtId="194" fontId="0" fillId="0" borderId="11" xfId="35" applyFont="1" applyBorder="1" applyAlignment="1">
      <alignment/>
    </xf>
    <xf numFmtId="194" fontId="55" fillId="0" borderId="33" xfId="0" applyNumberFormat="1" applyFont="1" applyBorder="1" applyAlignment="1">
      <alignment/>
    </xf>
    <xf numFmtId="194" fontId="53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194" fontId="37" fillId="0" borderId="10" xfId="35" applyFont="1" applyBorder="1" applyAlignment="1">
      <alignment/>
    </xf>
    <xf numFmtId="194" fontId="38" fillId="0" borderId="18" xfId="35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37" fillId="0" borderId="0" xfId="0" applyFont="1" applyBorder="1" applyAlignment="1">
      <alignment/>
    </xf>
    <xf numFmtId="194" fontId="38" fillId="0" borderId="25" xfId="35" applyFont="1" applyBorder="1" applyAlignment="1">
      <alignment/>
    </xf>
    <xf numFmtId="0" fontId="5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200" fontId="20" fillId="0" borderId="10" xfId="35" applyNumberFormat="1" applyFont="1" applyBorder="1" applyAlignment="1">
      <alignment/>
    </xf>
    <xf numFmtId="194" fontId="10" fillId="0" borderId="10" xfId="35" applyFont="1" applyBorder="1" applyAlignment="1" quotePrefix="1">
      <alignment horizontal="left"/>
    </xf>
    <xf numFmtId="0" fontId="10" fillId="0" borderId="15" xfId="0" applyFont="1" applyBorder="1" applyAlignment="1">
      <alignment horizontal="center"/>
    </xf>
    <xf numFmtId="194" fontId="10" fillId="0" borderId="10" xfId="35" applyFont="1" applyBorder="1" applyAlignment="1">
      <alignment/>
    </xf>
    <xf numFmtId="194" fontId="14" fillId="0" borderId="10" xfId="35" applyFont="1" applyBorder="1" applyAlignment="1">
      <alignment/>
    </xf>
    <xf numFmtId="194" fontId="14" fillId="0" borderId="11" xfId="35" applyFont="1" applyBorder="1" applyAlignment="1">
      <alignment/>
    </xf>
    <xf numFmtId="194" fontId="20" fillId="0" borderId="18" xfId="35" applyFont="1" applyBorder="1" applyAlignment="1">
      <alignment/>
    </xf>
    <xf numFmtId="194" fontId="10" fillId="0" borderId="18" xfId="35" applyFont="1" applyBorder="1" applyAlignment="1">
      <alignment/>
    </xf>
    <xf numFmtId="194" fontId="16" fillId="0" borderId="18" xfId="35" applyFont="1" applyBorder="1" applyAlignment="1">
      <alignment/>
    </xf>
    <xf numFmtId="0" fontId="20" fillId="0" borderId="10" xfId="0" applyFont="1" applyBorder="1" applyAlignment="1">
      <alignment horizontal="center"/>
    </xf>
    <xf numFmtId="194" fontId="20" fillId="0" borderId="10" xfId="35" applyFont="1" applyBorder="1" applyAlignment="1">
      <alignment horizontal="center"/>
    </xf>
    <xf numFmtId="194" fontId="10" fillId="0" borderId="11" xfId="35" applyFont="1" applyBorder="1" applyAlignment="1">
      <alignment/>
    </xf>
    <xf numFmtId="194" fontId="20" fillId="0" borderId="0" xfId="35" applyFont="1" applyBorder="1" applyAlignment="1">
      <alignment/>
    </xf>
    <xf numFmtId="0" fontId="16" fillId="0" borderId="0" xfId="0" applyFont="1" applyBorder="1" applyAlignment="1">
      <alignment horizontal="center"/>
    </xf>
    <xf numFmtId="194" fontId="10" fillId="0" borderId="0" xfId="35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194" fontId="20" fillId="0" borderId="10" xfId="35" applyFont="1" applyBorder="1" applyAlignment="1">
      <alignment/>
    </xf>
    <xf numFmtId="194" fontId="20" fillId="0" borderId="15" xfId="35" applyFont="1" applyBorder="1" applyAlignment="1">
      <alignment/>
    </xf>
    <xf numFmtId="194" fontId="10" fillId="0" borderId="12" xfId="35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0" xfId="0" applyFont="1" applyBorder="1" applyAlignment="1">
      <alignment/>
    </xf>
    <xf numFmtId="194" fontId="14" fillId="0" borderId="10" xfId="35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4" xfId="0" applyFont="1" applyBorder="1" applyAlignment="1">
      <alignment/>
    </xf>
    <xf numFmtId="194" fontId="14" fillId="0" borderId="18" xfId="35" applyFont="1" applyBorder="1" applyAlignment="1">
      <alignment/>
    </xf>
    <xf numFmtId="0" fontId="10" fillId="0" borderId="18" xfId="0" applyFont="1" applyBorder="1" applyAlignment="1" quotePrefix="1">
      <alignment horizontal="center"/>
    </xf>
    <xf numFmtId="194" fontId="61" fillId="0" borderId="18" xfId="35" applyFont="1" applyBorder="1" applyAlignment="1">
      <alignment/>
    </xf>
    <xf numFmtId="194" fontId="62" fillId="0" borderId="18" xfId="35" applyFont="1" applyBorder="1" applyAlignment="1">
      <alignment/>
    </xf>
    <xf numFmtId="0" fontId="63" fillId="0" borderId="0" xfId="0" applyFont="1" applyBorder="1" applyAlignment="1">
      <alignment/>
    </xf>
    <xf numFmtId="200" fontId="20" fillId="0" borderId="22" xfId="35" applyNumberFormat="1" applyFont="1" applyBorder="1" applyAlignment="1">
      <alignment/>
    </xf>
    <xf numFmtId="194" fontId="20" fillId="0" borderId="12" xfId="35" applyFont="1" applyBorder="1" applyAlignment="1">
      <alignment horizontal="center"/>
    </xf>
    <xf numFmtId="194" fontId="20" fillId="0" borderId="0" xfId="35" applyFont="1" applyBorder="1" applyAlignment="1">
      <alignment horizontal="center"/>
    </xf>
    <xf numFmtId="194" fontId="14" fillId="0" borderId="12" xfId="35" applyFont="1" applyBorder="1" applyAlignment="1">
      <alignment/>
    </xf>
    <xf numFmtId="194" fontId="14" fillId="0" borderId="0" xfId="35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194" fontId="60" fillId="0" borderId="18" xfId="35" applyFont="1" applyBorder="1" applyAlignment="1">
      <alignment/>
    </xf>
    <xf numFmtId="0" fontId="16" fillId="0" borderId="19" xfId="0" applyFont="1" applyBorder="1" applyAlignment="1" quotePrefix="1">
      <alignment horizontal="center"/>
    </xf>
    <xf numFmtId="194" fontId="14" fillId="0" borderId="15" xfId="35" applyFont="1" applyBorder="1" applyAlignment="1">
      <alignment/>
    </xf>
    <xf numFmtId="194" fontId="16" fillId="0" borderId="10" xfId="35" applyFont="1" applyBorder="1" applyAlignment="1">
      <alignment/>
    </xf>
    <xf numFmtId="0" fontId="10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200" fontId="10" fillId="0" borderId="15" xfId="35" applyNumberFormat="1" applyFont="1" applyFill="1" applyBorder="1" applyAlignment="1">
      <alignment/>
    </xf>
    <xf numFmtId="200" fontId="10" fillId="0" borderId="10" xfId="35" applyNumberFormat="1" applyFont="1" applyFill="1" applyBorder="1" applyAlignment="1">
      <alignment/>
    </xf>
    <xf numFmtId="194" fontId="13" fillId="0" borderId="35" xfId="35" applyFont="1" applyFill="1" applyBorder="1" applyAlignment="1">
      <alignment/>
    </xf>
    <xf numFmtId="194" fontId="13" fillId="0" borderId="29" xfId="35" applyFont="1" applyFill="1" applyBorder="1" applyAlignment="1">
      <alignment/>
    </xf>
    <xf numFmtId="194" fontId="56" fillId="0" borderId="18" xfId="35" applyFont="1" applyBorder="1" applyAlignment="1">
      <alignment/>
    </xf>
    <xf numFmtId="194" fontId="16" fillId="0" borderId="0" xfId="35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94" fontId="16" fillId="0" borderId="15" xfId="35" applyFont="1" applyFill="1" applyBorder="1" applyAlignment="1">
      <alignment/>
    </xf>
    <xf numFmtId="0" fontId="67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200" fontId="14" fillId="0" borderId="0" xfId="35" applyNumberFormat="1" applyFont="1" applyBorder="1" applyAlignment="1">
      <alignment/>
    </xf>
    <xf numFmtId="194" fontId="16" fillId="0" borderId="0" xfId="35" applyFont="1" applyBorder="1" applyAlignment="1">
      <alignment/>
    </xf>
    <xf numFmtId="194" fontId="16" fillId="0" borderId="10" xfId="35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0" fillId="0" borderId="23" xfId="0" applyFont="1" applyBorder="1" applyAlignment="1">
      <alignment horizontal="center"/>
    </xf>
    <xf numFmtId="194" fontId="10" fillId="0" borderId="10" xfId="0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94" fontId="70" fillId="25" borderId="10" xfId="35" applyFont="1" applyFill="1" applyBorder="1" applyAlignment="1">
      <alignment/>
    </xf>
    <xf numFmtId="194" fontId="14" fillId="25" borderId="10" xfId="35" applyFont="1" applyFill="1" applyBorder="1" applyAlignment="1">
      <alignment/>
    </xf>
    <xf numFmtId="200" fontId="20" fillId="0" borderId="0" xfId="35" applyNumberFormat="1" applyFont="1" applyBorder="1" applyAlignment="1">
      <alignment/>
    </xf>
    <xf numFmtId="0" fontId="56" fillId="0" borderId="25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94" fontId="60" fillId="0" borderId="0" xfId="35" applyFont="1" applyBorder="1" applyAlignment="1">
      <alignment/>
    </xf>
    <xf numFmtId="0" fontId="16" fillId="0" borderId="0" xfId="0" applyFont="1" applyBorder="1" applyAlignment="1" quotePrefix="1">
      <alignment horizontal="center"/>
    </xf>
    <xf numFmtId="194" fontId="60" fillId="0" borderId="17" xfId="35" applyFont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00" fontId="10" fillId="0" borderId="0" xfId="35" applyNumberFormat="1" applyFont="1" applyFill="1" applyBorder="1" applyAlignment="1">
      <alignment/>
    </xf>
    <xf numFmtId="194" fontId="66" fillId="0" borderId="0" xfId="35" applyFont="1" applyBorder="1" applyAlignment="1">
      <alignment/>
    </xf>
    <xf numFmtId="194" fontId="10" fillId="0" borderId="0" xfId="35" applyFont="1" applyFill="1" applyBorder="1" applyAlignment="1">
      <alignment/>
    </xf>
    <xf numFmtId="194" fontId="10" fillId="0" borderId="24" xfId="35" applyFont="1" applyBorder="1" applyAlignment="1">
      <alignment/>
    </xf>
    <xf numFmtId="0" fontId="10" fillId="0" borderId="16" xfId="0" applyFont="1" applyBorder="1" applyAlignment="1" quotePrefix="1">
      <alignment horizontal="center"/>
    </xf>
    <xf numFmtId="0" fontId="14" fillId="0" borderId="25" xfId="0" applyFont="1" applyBorder="1" applyAlignment="1">
      <alignment/>
    </xf>
    <xf numFmtId="194" fontId="14" fillId="0" borderId="25" xfId="35" applyFont="1" applyBorder="1" applyAlignment="1">
      <alignment/>
    </xf>
    <xf numFmtId="0" fontId="10" fillId="0" borderId="19" xfId="0" applyFont="1" applyBorder="1" applyAlignment="1" quotePrefix="1">
      <alignment horizontal="center"/>
    </xf>
    <xf numFmtId="0" fontId="31" fillId="0" borderId="0" xfId="0" applyFont="1" applyFill="1" applyAlignment="1">
      <alignment/>
    </xf>
    <xf numFmtId="194" fontId="10" fillId="0" borderId="14" xfId="35" applyFont="1" applyBorder="1" applyAlignment="1">
      <alignment/>
    </xf>
    <xf numFmtId="194" fontId="56" fillId="0" borderId="0" xfId="35" applyFont="1" applyBorder="1" applyAlignment="1">
      <alignment/>
    </xf>
    <xf numFmtId="194" fontId="60" fillId="0" borderId="16" xfId="35" applyFont="1" applyBorder="1" applyAlignment="1">
      <alignment/>
    </xf>
    <xf numFmtId="194" fontId="14" fillId="0" borderId="24" xfId="35" applyFont="1" applyBorder="1" applyAlignment="1">
      <alignment/>
    </xf>
    <xf numFmtId="0" fontId="10" fillId="0" borderId="24" xfId="0" applyFont="1" applyBorder="1" applyAlignment="1" quotePrefix="1">
      <alignment horizontal="center"/>
    </xf>
    <xf numFmtId="194" fontId="65" fillId="0" borderId="0" xfId="35" applyFont="1" applyBorder="1" applyAlignment="1">
      <alignment/>
    </xf>
    <xf numFmtId="194" fontId="10" fillId="0" borderId="10" xfId="35" applyFont="1" applyBorder="1" applyAlignment="1">
      <alignment horizontal="center"/>
    </xf>
    <xf numFmtId="194" fontId="14" fillId="0" borderId="17" xfId="35" applyFont="1" applyBorder="1" applyAlignment="1">
      <alignment/>
    </xf>
    <xf numFmtId="194" fontId="9" fillId="0" borderId="0" xfId="0" applyNumberFormat="1" applyFont="1" applyBorder="1" applyAlignment="1">
      <alignment/>
    </xf>
    <xf numFmtId="194" fontId="13" fillId="0" borderId="16" xfId="35" applyFont="1" applyBorder="1" applyAlignment="1">
      <alignment/>
    </xf>
    <xf numFmtId="0" fontId="13" fillId="0" borderId="0" xfId="0" applyFont="1" applyBorder="1" applyAlignment="1">
      <alignment horizontal="center"/>
    </xf>
    <xf numFmtId="194" fontId="13" fillId="0" borderId="0" xfId="35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94" fontId="13" fillId="0" borderId="16" xfId="35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94" fontId="10" fillId="0" borderId="0" xfId="0" applyNumberFormat="1" applyFont="1" applyFill="1" applyBorder="1" applyAlignment="1">
      <alignment horizontal="center"/>
    </xf>
    <xf numFmtId="200" fontId="20" fillId="0" borderId="11" xfId="35" applyNumberFormat="1" applyFont="1" applyBorder="1" applyAlignment="1">
      <alignment/>
    </xf>
    <xf numFmtId="194" fontId="20" fillId="0" borderId="20" xfId="35" applyFont="1" applyBorder="1" applyAlignment="1">
      <alignment horizontal="center"/>
    </xf>
    <xf numFmtId="0" fontId="28" fillId="0" borderId="0" xfId="0" applyFont="1" applyBorder="1" applyAlignment="1" quotePrefix="1">
      <alignment horizontal="left"/>
    </xf>
    <xf numFmtId="194" fontId="43" fillId="0" borderId="27" xfId="35" applyFont="1" applyBorder="1" applyAlignment="1">
      <alignment/>
    </xf>
    <xf numFmtId="194" fontId="43" fillId="0" borderId="18" xfId="35" applyFont="1" applyBorder="1" applyAlignment="1">
      <alignment/>
    </xf>
    <xf numFmtId="194" fontId="55" fillId="0" borderId="18" xfId="35" applyFont="1" applyBorder="1" applyAlignment="1">
      <alignment/>
    </xf>
    <xf numFmtId="194" fontId="43" fillId="0" borderId="10" xfId="35" applyFont="1" applyBorder="1" applyAlignment="1">
      <alignment/>
    </xf>
    <xf numFmtId="194" fontId="2" fillId="0" borderId="11" xfId="35" applyFont="1" applyBorder="1" applyAlignment="1">
      <alignment horizontal="center"/>
    </xf>
    <xf numFmtId="194" fontId="4" fillId="0" borderId="12" xfId="35" applyFont="1" applyBorder="1" applyAlignment="1">
      <alignment/>
    </xf>
    <xf numFmtId="194" fontId="28" fillId="0" borderId="12" xfId="35" applyFont="1" applyBorder="1" applyAlignment="1">
      <alignment horizontal="center"/>
    </xf>
    <xf numFmtId="194" fontId="13" fillId="0" borderId="18" xfId="35" applyFont="1" applyBorder="1" applyAlignment="1">
      <alignment/>
    </xf>
    <xf numFmtId="194" fontId="11" fillId="4" borderId="18" xfId="35" applyFont="1" applyFill="1" applyBorder="1" applyAlignment="1">
      <alignment/>
    </xf>
    <xf numFmtId="194" fontId="13" fillId="0" borderId="23" xfId="35" applyFont="1" applyFill="1" applyBorder="1" applyAlignment="1">
      <alignment/>
    </xf>
    <xf numFmtId="194" fontId="43" fillId="0" borderId="11" xfId="35" applyFont="1" applyBorder="1" applyAlignment="1">
      <alignment/>
    </xf>
    <xf numFmtId="194" fontId="60" fillId="0" borderId="21" xfId="35" applyFont="1" applyBorder="1" applyAlignment="1">
      <alignment/>
    </xf>
    <xf numFmtId="194" fontId="10" fillId="0" borderId="34" xfId="35" applyFont="1" applyBorder="1" applyAlignment="1">
      <alignment/>
    </xf>
    <xf numFmtId="0" fontId="13" fillId="0" borderId="17" xfId="0" applyFont="1" applyBorder="1" applyAlignment="1">
      <alignment horizontal="center"/>
    </xf>
    <xf numFmtId="194" fontId="11" fillId="0" borderId="14" xfId="35" applyFont="1" applyFill="1" applyBorder="1" applyAlignment="1">
      <alignment/>
    </xf>
    <xf numFmtId="194" fontId="65" fillId="0" borderId="18" xfId="35" applyFont="1" applyFill="1" applyBorder="1" applyAlignment="1">
      <alignment/>
    </xf>
    <xf numFmtId="194" fontId="49" fillId="0" borderId="14" xfId="35" applyFont="1" applyBorder="1" applyAlignment="1">
      <alignment/>
    </xf>
    <xf numFmtId="194" fontId="0" fillId="0" borderId="0" xfId="0" applyNumberFormat="1" applyAlignment="1">
      <alignment/>
    </xf>
    <xf numFmtId="194" fontId="50" fillId="0" borderId="0" xfId="35" applyFont="1" applyAlignment="1">
      <alignment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30" xfId="0" applyFont="1" applyBorder="1" applyAlignment="1">
      <alignment/>
    </xf>
    <xf numFmtId="194" fontId="71" fillId="0" borderId="30" xfId="35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194" fontId="71" fillId="0" borderId="26" xfId="35" applyFont="1" applyBorder="1" applyAlignment="1">
      <alignment horizontal="center"/>
    </xf>
    <xf numFmtId="194" fontId="71" fillId="0" borderId="26" xfId="35" applyFont="1" applyBorder="1" applyAlignment="1">
      <alignment/>
    </xf>
    <xf numFmtId="194" fontId="72" fillId="0" borderId="26" xfId="35" applyFont="1" applyBorder="1" applyAlignment="1">
      <alignment horizontal="center"/>
    </xf>
    <xf numFmtId="194" fontId="71" fillId="0" borderId="33" xfId="0" applyNumberFormat="1" applyFont="1" applyBorder="1" applyAlignment="1">
      <alignment/>
    </xf>
    <xf numFmtId="194" fontId="71" fillId="0" borderId="30" xfId="35" applyFont="1" applyBorder="1" applyAlignment="1">
      <alignment/>
    </xf>
    <xf numFmtId="194" fontId="71" fillId="0" borderId="38" xfId="35" applyFont="1" applyBorder="1" applyAlignment="1">
      <alignment horizontal="center"/>
    </xf>
    <xf numFmtId="0" fontId="51" fillId="0" borderId="30" xfId="0" applyFont="1" applyBorder="1" applyAlignment="1">
      <alignment/>
    </xf>
    <xf numFmtId="194" fontId="49" fillId="0" borderId="30" xfId="0" applyNumberFormat="1" applyFont="1" applyBorder="1" applyAlignment="1">
      <alignment/>
    </xf>
    <xf numFmtId="0" fontId="34" fillId="0" borderId="17" xfId="0" applyFont="1" applyBorder="1" applyAlignment="1">
      <alignment horizontal="center"/>
    </xf>
    <xf numFmtId="194" fontId="55" fillId="0" borderId="17" xfId="0" applyNumberFormat="1" applyFont="1" applyBorder="1" applyAlignment="1">
      <alignment/>
    </xf>
    <xf numFmtId="194" fontId="43" fillId="0" borderId="17" xfId="0" applyNumberFormat="1" applyFont="1" applyBorder="1" applyAlignment="1">
      <alignment/>
    </xf>
    <xf numFmtId="194" fontId="71" fillId="0" borderId="17" xfId="0" applyNumberFormat="1" applyFont="1" applyBorder="1" applyAlignment="1">
      <alignment/>
    </xf>
    <xf numFmtId="0" fontId="73" fillId="0" borderId="26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3" xfId="0" applyFont="1" applyFill="1" applyBorder="1" applyAlignment="1">
      <alignment/>
    </xf>
    <xf numFmtId="194" fontId="10" fillId="0" borderId="11" xfId="35" applyFont="1" applyFill="1" applyBorder="1" applyAlignment="1">
      <alignment/>
    </xf>
    <xf numFmtId="194" fontId="10" fillId="0" borderId="20" xfId="35" applyFont="1" applyFill="1" applyBorder="1" applyAlignment="1">
      <alignment/>
    </xf>
    <xf numFmtId="194" fontId="11" fillId="0" borderId="39" xfId="35" applyFont="1" applyBorder="1" applyAlignment="1">
      <alignment/>
    </xf>
    <xf numFmtId="194" fontId="11" fillId="0" borderId="40" xfId="35" applyFont="1" applyBorder="1" applyAlignment="1">
      <alignment/>
    </xf>
    <xf numFmtId="194" fontId="10" fillId="0" borderId="41" xfId="35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4" fillId="0" borderId="17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194" fontId="11" fillId="0" borderId="0" xfId="35" applyFont="1" applyBorder="1" applyAlignment="1">
      <alignment/>
    </xf>
    <xf numFmtId="0" fontId="34" fillId="0" borderId="15" xfId="0" applyFont="1" applyBorder="1" applyAlignment="1">
      <alignment/>
    </xf>
    <xf numFmtId="194" fontId="70" fillId="0" borderId="0" xfId="35" applyFont="1" applyBorder="1" applyAlignment="1">
      <alignment/>
    </xf>
    <xf numFmtId="194" fontId="0" fillId="0" borderId="0" xfId="35" applyFont="1" applyBorder="1" applyAlignment="1">
      <alignment/>
    </xf>
    <xf numFmtId="194" fontId="70" fillId="0" borderId="0" xfId="35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207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5" xfId="35" applyFont="1" applyBorder="1" applyAlignment="1">
      <alignment horizontal="center"/>
    </xf>
    <xf numFmtId="207" fontId="4" fillId="0" borderId="15" xfId="0" applyNumberFormat="1" applyFont="1" applyBorder="1" applyAlignment="1" quotePrefix="1">
      <alignment horizontal="center"/>
    </xf>
    <xf numFmtId="194" fontId="3" fillId="0" borderId="10" xfId="35" applyFont="1" applyBorder="1" applyAlignment="1">
      <alignment/>
    </xf>
    <xf numFmtId="207" fontId="4" fillId="0" borderId="17" xfId="0" applyNumberFormat="1" applyFont="1" applyBorder="1" applyAlignment="1">
      <alignment horizontal="center"/>
    </xf>
    <xf numFmtId="207" fontId="4" fillId="0" borderId="11" xfId="0" applyNumberFormat="1" applyFont="1" applyBorder="1" applyAlignment="1">
      <alignment horizontal="center"/>
    </xf>
    <xf numFmtId="194" fontId="4" fillId="0" borderId="41" xfId="35" applyFont="1" applyBorder="1" applyAlignment="1">
      <alignment horizontal="center"/>
    </xf>
    <xf numFmtId="194" fontId="4" fillId="0" borderId="39" xfId="35" applyFont="1" applyBorder="1" applyAlignment="1">
      <alignment horizontal="center"/>
    </xf>
    <xf numFmtId="194" fontId="10" fillId="0" borderId="0" xfId="35" applyFont="1" applyBorder="1" applyAlignment="1" quotePrefix="1">
      <alignment horizontal="center"/>
    </xf>
    <xf numFmtId="200" fontId="60" fillId="0" borderId="0" xfId="35" applyNumberFormat="1" applyFont="1" applyBorder="1" applyAlignment="1">
      <alignment/>
    </xf>
    <xf numFmtId="194" fontId="64" fillId="0" borderId="0" xfId="35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94" fontId="20" fillId="0" borderId="14" xfId="35" applyFont="1" applyBorder="1" applyAlignment="1">
      <alignment/>
    </xf>
    <xf numFmtId="194" fontId="20" fillId="0" borderId="31" xfId="35" applyFont="1" applyBorder="1" applyAlignment="1">
      <alignment/>
    </xf>
    <xf numFmtId="194" fontId="10" fillId="0" borderId="15" xfId="35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94" fontId="0" fillId="0" borderId="18" xfId="35" applyFont="1" applyBorder="1" applyAlignment="1">
      <alignment/>
    </xf>
    <xf numFmtId="207" fontId="4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94" fontId="0" fillId="0" borderId="18" xfId="0" applyNumberFormat="1" applyBorder="1" applyAlignment="1">
      <alignment/>
    </xf>
    <xf numFmtId="194" fontId="55" fillId="0" borderId="30" xfId="35" applyFont="1" applyBorder="1" applyAlignment="1">
      <alignment/>
    </xf>
    <xf numFmtId="194" fontId="55" fillId="0" borderId="26" xfId="35" applyFont="1" applyBorder="1" applyAlignment="1">
      <alignment/>
    </xf>
    <xf numFmtId="194" fontId="55" fillId="0" borderId="38" xfId="35" applyFont="1" applyBorder="1" applyAlignment="1">
      <alignment/>
    </xf>
    <xf numFmtId="194" fontId="55" fillId="0" borderId="0" xfId="0" applyNumberFormat="1" applyFont="1" applyBorder="1" applyAlignment="1">
      <alignment/>
    </xf>
    <xf numFmtId="194" fontId="7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194" fontId="49" fillId="0" borderId="0" xfId="35" applyFont="1" applyBorder="1" applyAlignment="1">
      <alignment/>
    </xf>
    <xf numFmtId="0" fontId="34" fillId="0" borderId="0" xfId="0" applyFont="1" applyBorder="1" applyAlignment="1">
      <alignment/>
    </xf>
    <xf numFmtId="194" fontId="55" fillId="0" borderId="0" xfId="35" applyFont="1" applyBorder="1" applyAlignment="1">
      <alignment/>
    </xf>
    <xf numFmtId="194" fontId="71" fillId="0" borderId="0" xfId="35" applyFont="1" applyBorder="1" applyAlignment="1">
      <alignment/>
    </xf>
    <xf numFmtId="194" fontId="71" fillId="0" borderId="0" xfId="35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194" fontId="72" fillId="0" borderId="0" xfId="35" applyFont="1" applyBorder="1" applyAlignment="1">
      <alignment horizontal="center"/>
    </xf>
    <xf numFmtId="0" fontId="73" fillId="0" borderId="0" xfId="0" applyFont="1" applyBorder="1" applyAlignment="1">
      <alignment/>
    </xf>
    <xf numFmtId="0" fontId="34" fillId="0" borderId="42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33" xfId="0" applyFont="1" applyBorder="1" applyAlignment="1">
      <alignment horizontal="center"/>
    </xf>
    <xf numFmtId="194" fontId="71" fillId="0" borderId="18" xfId="0" applyNumberFormat="1" applyFont="1" applyBorder="1" applyAlignment="1">
      <alignment/>
    </xf>
    <xf numFmtId="19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94" fontId="0" fillId="0" borderId="16" xfId="0" applyNumberFormat="1" applyFont="1" applyBorder="1" applyAlignment="1">
      <alignment/>
    </xf>
    <xf numFmtId="194" fontId="0" fillId="0" borderId="16" xfId="35" applyFont="1" applyBorder="1" applyAlignment="1">
      <alignment/>
    </xf>
    <xf numFmtId="0" fontId="0" fillId="0" borderId="0" xfId="0" applyFont="1" applyFill="1" applyBorder="1" applyAlignment="1">
      <alignment/>
    </xf>
    <xf numFmtId="194" fontId="0" fillId="0" borderId="14" xfId="35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Border="1" applyAlignment="1">
      <alignment horizontal="center"/>
    </xf>
    <xf numFmtId="194" fontId="44" fillId="0" borderId="17" xfId="35" applyFont="1" applyBorder="1" applyAlignment="1">
      <alignment horizontal="center"/>
    </xf>
    <xf numFmtId="194" fontId="44" fillId="0" borderId="0" xfId="35" applyFont="1" applyAlignment="1">
      <alignment horizontal="center"/>
    </xf>
    <xf numFmtId="194" fontId="4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73" fillId="0" borderId="44" xfId="0" applyFont="1" applyBorder="1" applyAlignment="1">
      <alignment/>
    </xf>
    <xf numFmtId="194" fontId="49" fillId="0" borderId="0" xfId="35" applyFont="1" applyBorder="1" applyAlignment="1">
      <alignment horizontal="center"/>
    </xf>
    <xf numFmtId="194" fontId="49" fillId="0" borderId="17" xfId="35" applyFont="1" applyBorder="1" applyAlignment="1">
      <alignment/>
    </xf>
    <xf numFmtId="194" fontId="49" fillId="0" borderId="17" xfId="35" applyFont="1" applyBorder="1" applyAlignment="1">
      <alignment horizontal="center"/>
    </xf>
    <xf numFmtId="194" fontId="40" fillId="0" borderId="40" xfId="35" applyFont="1" applyBorder="1" applyAlignment="1">
      <alignment/>
    </xf>
    <xf numFmtId="0" fontId="10" fillId="0" borderId="18" xfId="0" applyFont="1" applyBorder="1" applyAlignment="1">
      <alignment horizontal="center"/>
    </xf>
    <xf numFmtId="194" fontId="10" fillId="0" borderId="15" xfId="0" applyNumberFormat="1" applyFont="1" applyBorder="1" applyAlignment="1">
      <alignment horizontal="center" vertical="center"/>
    </xf>
    <xf numFmtId="194" fontId="10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8" fillId="0" borderId="0" xfId="0" applyFont="1" applyBorder="1" applyAlignment="1">
      <alignment horizontal="left"/>
    </xf>
    <xf numFmtId="0" fontId="98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98" fillId="0" borderId="0" xfId="0" applyFont="1" applyFill="1" applyBorder="1" applyAlignment="1">
      <alignment/>
    </xf>
    <xf numFmtId="0" fontId="98" fillId="0" borderId="0" xfId="0" applyFont="1" applyBorder="1" applyAlignment="1">
      <alignment/>
    </xf>
    <xf numFmtId="194" fontId="100" fillId="0" borderId="10" xfId="35" applyFont="1" applyBorder="1" applyAlignment="1">
      <alignment/>
    </xf>
    <xf numFmtId="207" fontId="98" fillId="0" borderId="0" xfId="0" applyNumberFormat="1" applyFont="1" applyBorder="1" applyAlignment="1">
      <alignment horizontal="center"/>
    </xf>
    <xf numFmtId="194" fontId="99" fillId="0" borderId="0" xfId="35" applyFont="1" applyBorder="1" applyAlignment="1">
      <alignment horizontal="center"/>
    </xf>
    <xf numFmtId="0" fontId="9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3" xfId="0" applyFont="1" applyBorder="1" applyAlignment="1">
      <alignment/>
    </xf>
    <xf numFmtId="0" fontId="10" fillId="0" borderId="19" xfId="0" applyFont="1" applyBorder="1" applyAlignment="1">
      <alignment horizontal="center"/>
    </xf>
    <xf numFmtId="194" fontId="10" fillId="0" borderId="45" xfId="35" applyFont="1" applyBorder="1" applyAlignment="1">
      <alignment/>
    </xf>
    <xf numFmtId="0" fontId="42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207" fontId="4" fillId="0" borderId="20" xfId="0" applyNumberFormat="1" applyFont="1" applyBorder="1" applyAlignment="1">
      <alignment horizontal="center"/>
    </xf>
    <xf numFmtId="207" fontId="98" fillId="0" borderId="12" xfId="0" applyNumberFormat="1" applyFont="1" applyBorder="1" applyAlignment="1">
      <alignment horizontal="center"/>
    </xf>
    <xf numFmtId="194" fontId="45" fillId="0" borderId="0" xfId="35" applyFont="1" applyBorder="1" applyAlignment="1">
      <alignment/>
    </xf>
    <xf numFmtId="194" fontId="45" fillId="0" borderId="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/>
    </xf>
    <xf numFmtId="194" fontId="0" fillId="0" borderId="34" xfId="35" applyFont="1" applyBorder="1" applyAlignment="1">
      <alignment/>
    </xf>
    <xf numFmtId="194" fontId="0" fillId="0" borderId="33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194" fontId="0" fillId="0" borderId="33" xfId="35" applyFont="1" applyBorder="1" applyAlignment="1">
      <alignment/>
    </xf>
    <xf numFmtId="9" fontId="71" fillId="0" borderId="26" xfId="41" applyFont="1" applyBorder="1" applyAlignment="1">
      <alignment horizontal="center"/>
    </xf>
    <xf numFmtId="217" fontId="71" fillId="0" borderId="26" xfId="35" applyNumberFormat="1" applyFont="1" applyBorder="1" applyAlignment="1">
      <alignment horizontal="center"/>
    </xf>
    <xf numFmtId="194" fontId="71" fillId="0" borderId="18" xfId="35" applyFont="1" applyBorder="1" applyAlignment="1">
      <alignment horizontal="center"/>
    </xf>
    <xf numFmtId="194" fontId="43" fillId="0" borderId="46" xfId="35" applyFont="1" applyBorder="1" applyAlignment="1">
      <alignment/>
    </xf>
    <xf numFmtId="194" fontId="43" fillId="0" borderId="36" xfId="35" applyFont="1" applyBorder="1" applyAlignment="1">
      <alignment/>
    </xf>
    <xf numFmtId="0" fontId="0" fillId="0" borderId="0" xfId="0" applyFont="1" applyBorder="1" applyAlignment="1">
      <alignment horizontal="center"/>
    </xf>
    <xf numFmtId="0" fontId="103" fillId="0" borderId="30" xfId="0" applyFont="1" applyBorder="1" applyAlignment="1">
      <alignment/>
    </xf>
    <xf numFmtId="194" fontId="0" fillId="0" borderId="16" xfId="35" applyFont="1" applyBorder="1" applyAlignment="1">
      <alignment/>
    </xf>
    <xf numFmtId="0" fontId="0" fillId="0" borderId="16" xfId="0" applyFont="1" applyBorder="1" applyAlignment="1">
      <alignment/>
    </xf>
    <xf numFmtId="194" fontId="0" fillId="0" borderId="16" xfId="0" applyNumberFormat="1" applyFont="1" applyBorder="1" applyAlignment="1">
      <alignment/>
    </xf>
    <xf numFmtId="194" fontId="0" fillId="0" borderId="16" xfId="35" applyFont="1" applyBorder="1" applyAlignment="1">
      <alignment horizontal="center"/>
    </xf>
    <xf numFmtId="194" fontId="0" fillId="0" borderId="18" xfId="35" applyFont="1" applyBorder="1" applyAlignment="1">
      <alignment horizontal="center"/>
    </xf>
    <xf numFmtId="0" fontId="3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105" fillId="0" borderId="12" xfId="0" applyFont="1" applyBorder="1" applyAlignment="1">
      <alignment vertical="top" wrapText="1"/>
    </xf>
    <xf numFmtId="204" fontId="34" fillId="0" borderId="12" xfId="0" applyNumberFormat="1" applyFont="1" applyBorder="1" applyAlignment="1">
      <alignment horizontal="center" vertical="top" wrapText="1"/>
    </xf>
    <xf numFmtId="200" fontId="34" fillId="0" borderId="12" xfId="35" applyNumberFormat="1" applyFont="1" applyBorder="1" applyAlignment="1">
      <alignment horizontal="center" vertical="top" wrapText="1"/>
    </xf>
    <xf numFmtId="194" fontId="106" fillId="0" borderId="12" xfId="35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94" fontId="106" fillId="0" borderId="12" xfId="35" applyFont="1" applyBorder="1" applyAlignment="1">
      <alignment horizontal="center" vertical="top" wrapText="1"/>
    </xf>
    <xf numFmtId="0" fontId="107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00" fontId="34" fillId="0" borderId="12" xfId="35" applyNumberFormat="1" applyFont="1" applyBorder="1" applyAlignment="1">
      <alignment vertical="top" wrapText="1"/>
    </xf>
    <xf numFmtId="204" fontId="0" fillId="0" borderId="12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105" fillId="0" borderId="11" xfId="0" applyFont="1" applyBorder="1" applyAlignment="1">
      <alignment vertical="top" wrapText="1"/>
    </xf>
    <xf numFmtId="204" fontId="34" fillId="0" borderId="11" xfId="0" applyNumberFormat="1" applyFont="1" applyBorder="1" applyAlignment="1">
      <alignment horizontal="center" vertical="top" wrapText="1"/>
    </xf>
    <xf numFmtId="200" fontId="34" fillId="0" borderId="11" xfId="35" applyNumberFormat="1" applyFont="1" applyBorder="1" applyAlignment="1">
      <alignment vertical="top" wrapText="1"/>
    </xf>
    <xf numFmtId="0" fontId="34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108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34" fillId="0" borderId="15" xfId="0" applyFont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0" fontId="105" fillId="0" borderId="12" xfId="0" applyFont="1" applyBorder="1" applyAlignment="1">
      <alignment horizontal="left" vertical="top" wrapText="1"/>
    </xf>
    <xf numFmtId="200" fontId="0" fillId="0" borderId="12" xfId="35" applyNumberFormat="1" applyFont="1" applyBorder="1" applyAlignment="1">
      <alignment vertical="top" wrapText="1"/>
    </xf>
    <xf numFmtId="200" fontId="0" fillId="0" borderId="12" xfId="35" applyNumberFormat="1" applyFont="1" applyBorder="1" applyAlignment="1">
      <alignment horizontal="center" vertical="top" wrapText="1"/>
    </xf>
    <xf numFmtId="194" fontId="34" fillId="0" borderId="12" xfId="35" applyFont="1" applyBorder="1" applyAlignment="1">
      <alignment horizontal="center" vertical="top" wrapText="1"/>
    </xf>
    <xf numFmtId="194" fontId="34" fillId="0" borderId="10" xfId="35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06" fillId="0" borderId="12" xfId="0" applyFont="1" applyBorder="1" applyAlignment="1">
      <alignment horizontal="center" vertical="top" wrapText="1"/>
    </xf>
    <xf numFmtId="194" fontId="34" fillId="0" borderId="12" xfId="35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105" fillId="0" borderId="10" xfId="0" applyFont="1" applyBorder="1" applyAlignment="1">
      <alignment vertical="top" wrapText="1"/>
    </xf>
    <xf numFmtId="204" fontId="34" fillId="0" borderId="10" xfId="0" applyNumberFormat="1" applyFont="1" applyBorder="1" applyAlignment="1">
      <alignment horizontal="center" vertical="top" wrapText="1"/>
    </xf>
    <xf numFmtId="200" fontId="34" fillId="0" borderId="10" xfId="35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4" fillId="0" borderId="12" xfId="0" applyFont="1" applyBorder="1" applyAlignment="1">
      <alignment vertical="top" wrapText="1"/>
    </xf>
    <xf numFmtId="200" fontId="34" fillId="0" borderId="10" xfId="35" applyNumberFormat="1" applyFont="1" applyBorder="1" applyAlignment="1">
      <alignment vertical="top" wrapText="1"/>
    </xf>
    <xf numFmtId="0" fontId="34" fillId="0" borderId="10" xfId="0" applyFont="1" applyBorder="1" applyAlignment="1">
      <alignment horizontal="center"/>
    </xf>
    <xf numFmtId="0" fontId="105" fillId="0" borderId="10" xfId="0" applyFont="1" applyBorder="1" applyAlignment="1">
      <alignment/>
    </xf>
    <xf numFmtId="49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105" fillId="0" borderId="12" xfId="0" applyFont="1" applyBorder="1" applyAlignment="1">
      <alignment/>
    </xf>
    <xf numFmtId="49" fontId="34" fillId="0" borderId="12" xfId="0" applyNumberFormat="1" applyFont="1" applyBorder="1" applyAlignment="1">
      <alignment horizontal="center" vertical="top" wrapText="1"/>
    </xf>
    <xf numFmtId="3" fontId="34" fillId="0" borderId="12" xfId="0" applyNumberFormat="1" applyFont="1" applyBorder="1" applyAlignment="1">
      <alignment/>
    </xf>
    <xf numFmtId="0" fontId="34" fillId="0" borderId="12" xfId="0" applyFont="1" applyBorder="1" applyAlignment="1">
      <alignment/>
    </xf>
    <xf numFmtId="3" fontId="34" fillId="0" borderId="12" xfId="0" applyNumberFormat="1" applyFont="1" applyBorder="1" applyAlignment="1">
      <alignment horizontal="right"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105" fillId="0" borderId="14" xfId="0" applyFont="1" applyBorder="1" applyAlignment="1">
      <alignment/>
    </xf>
    <xf numFmtId="49" fontId="34" fillId="0" borderId="14" xfId="0" applyNumberFormat="1" applyFont="1" applyBorder="1" applyAlignment="1">
      <alignment horizontal="center" vertical="top" wrapText="1"/>
    </xf>
    <xf numFmtId="3" fontId="34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34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05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12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34" fillId="0" borderId="10" xfId="0" applyFont="1" applyBorder="1" applyAlignment="1" quotePrefix="1">
      <alignment horizontal="center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0" fillId="0" borderId="20" xfId="0" applyFont="1" applyBorder="1" applyAlignment="1">
      <alignment vertical="top" wrapText="1"/>
    </xf>
    <xf numFmtId="3" fontId="3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5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34" fillId="0" borderId="15" xfId="0" applyFont="1" applyBorder="1" applyAlignment="1">
      <alignment horizontal="center"/>
    </xf>
    <xf numFmtId="0" fontId="105" fillId="0" borderId="11" xfId="0" applyFont="1" applyBorder="1" applyAlignment="1">
      <alignment/>
    </xf>
    <xf numFmtId="3" fontId="34" fillId="0" borderId="11" xfId="0" applyNumberFormat="1" applyFont="1" applyFill="1" applyBorder="1" applyAlignment="1">
      <alignment/>
    </xf>
    <xf numFmtId="0" fontId="34" fillId="0" borderId="11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3" fontId="34" fillId="0" borderId="1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1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34" fillId="0" borderId="12" xfId="0" applyFont="1" applyBorder="1" applyAlignment="1" quotePrefix="1">
      <alignment horizontal="center" vertical="top" wrapText="1"/>
    </xf>
    <xf numFmtId="0" fontId="111" fillId="0" borderId="10" xfId="0" applyFont="1" applyBorder="1" applyAlignment="1">
      <alignment vertical="top" wrapText="1"/>
    </xf>
    <xf numFmtId="0" fontId="111" fillId="0" borderId="12" xfId="0" applyFont="1" applyBorder="1" applyAlignment="1">
      <alignment vertical="top" wrapText="1"/>
    </xf>
    <xf numFmtId="0" fontId="110" fillId="0" borderId="12" xfId="0" applyFont="1" applyBorder="1" applyAlignment="1">
      <alignment/>
    </xf>
    <xf numFmtId="0" fontId="111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105" fillId="0" borderId="15" xfId="0" applyFont="1" applyBorder="1" applyAlignment="1">
      <alignment vertical="top" wrapText="1"/>
    </xf>
    <xf numFmtId="200" fontId="0" fillId="0" borderId="15" xfId="35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/>
    </xf>
    <xf numFmtId="3" fontId="34" fillId="0" borderId="12" xfId="0" applyNumberFormat="1" applyFont="1" applyFill="1" applyBorder="1" applyAlignment="1">
      <alignment/>
    </xf>
    <xf numFmtId="0" fontId="34" fillId="0" borderId="20" xfId="0" applyFont="1" applyBorder="1" applyAlignment="1">
      <alignment horizontal="center"/>
    </xf>
    <xf numFmtId="194" fontId="0" fillId="0" borderId="12" xfId="35" applyFont="1" applyBorder="1" applyAlignment="1">
      <alignment vertical="top" wrapText="1"/>
    </xf>
    <xf numFmtId="194" fontId="107" fillId="0" borderId="12" xfId="35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34" fillId="0" borderId="15" xfId="0" applyFont="1" applyBorder="1" applyAlignment="1">
      <alignment horizontal="center" vertical="top" wrapText="1"/>
    </xf>
    <xf numFmtId="200" fontId="34" fillId="0" borderId="15" xfId="35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34" fillId="0" borderId="23" xfId="0" applyFont="1" applyBorder="1" applyAlignment="1">
      <alignment vertical="top" wrapText="1"/>
    </xf>
    <xf numFmtId="0" fontId="34" fillId="0" borderId="23" xfId="0" applyFont="1" applyBorder="1" applyAlignment="1">
      <alignment horizontal="center" vertical="top" wrapText="1"/>
    </xf>
    <xf numFmtId="0" fontId="105" fillId="0" borderId="23" xfId="0" applyFont="1" applyBorder="1" applyAlignment="1">
      <alignment vertical="top" wrapText="1"/>
    </xf>
    <xf numFmtId="200" fontId="34" fillId="0" borderId="23" xfId="35" applyNumberFormat="1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107" fillId="0" borderId="12" xfId="0" applyFont="1" applyBorder="1" applyAlignment="1">
      <alignment horizontal="center" vertical="top" wrapText="1"/>
    </xf>
    <xf numFmtId="0" fontId="107" fillId="0" borderId="10" xfId="0" applyFont="1" applyBorder="1" applyAlignment="1">
      <alignment vertical="top" wrapText="1"/>
    </xf>
    <xf numFmtId="0" fontId="34" fillId="0" borderId="10" xfId="0" applyFont="1" applyBorder="1" applyAlignment="1" quotePrefix="1">
      <alignment horizontal="center" vertical="top" wrapText="1"/>
    </xf>
    <xf numFmtId="49" fontId="34" fillId="0" borderId="12" xfId="0" applyNumberFormat="1" applyFont="1" applyBorder="1" applyAlignment="1">
      <alignment horizontal="center"/>
    </xf>
    <xf numFmtId="0" fontId="34" fillId="0" borderId="20" xfId="0" applyFont="1" applyBorder="1" applyAlignment="1">
      <alignment/>
    </xf>
    <xf numFmtId="49" fontId="34" fillId="0" borderId="20" xfId="0" applyNumberFormat="1" applyFont="1" applyBorder="1" applyAlignment="1">
      <alignment/>
    </xf>
    <xf numFmtId="3" fontId="34" fillId="0" borderId="20" xfId="0" applyNumberFormat="1" applyFont="1" applyBorder="1" applyAlignment="1">
      <alignment/>
    </xf>
    <xf numFmtId="0" fontId="106" fillId="0" borderId="20" xfId="0" applyFont="1" applyBorder="1" applyAlignment="1">
      <alignment horizontal="center" vertical="top" wrapText="1"/>
    </xf>
    <xf numFmtId="0" fontId="107" fillId="0" borderId="20" xfId="0" applyFont="1" applyBorder="1" applyAlignment="1">
      <alignment vertical="top" wrapText="1"/>
    </xf>
    <xf numFmtId="0" fontId="113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200" fontId="0" fillId="0" borderId="20" xfId="35" applyNumberFormat="1" applyFont="1" applyBorder="1" applyAlignment="1">
      <alignment horizontal="center" vertical="top" wrapText="1"/>
    </xf>
    <xf numFmtId="0" fontId="113" fillId="0" borderId="12" xfId="0" applyFont="1" applyBorder="1" applyAlignment="1">
      <alignment horizontal="center" vertical="top" wrapText="1"/>
    </xf>
    <xf numFmtId="3" fontId="34" fillId="0" borderId="12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200" fontId="34" fillId="0" borderId="20" xfId="35" applyNumberFormat="1" applyFont="1" applyBorder="1" applyAlignment="1">
      <alignment horizontal="center" vertical="top" wrapText="1"/>
    </xf>
    <xf numFmtId="3" fontId="34" fillId="0" borderId="20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/>
    </xf>
    <xf numFmtId="3" fontId="34" fillId="0" borderId="15" xfId="0" applyNumberFormat="1" applyFont="1" applyFill="1" applyBorder="1" applyAlignment="1">
      <alignment/>
    </xf>
    <xf numFmtId="3" fontId="34" fillId="0" borderId="15" xfId="0" applyNumberFormat="1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/>
    </xf>
    <xf numFmtId="3" fontId="34" fillId="0" borderId="11" xfId="0" applyNumberFormat="1" applyFont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10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194" fontId="109" fillId="0" borderId="12" xfId="35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105" fillId="0" borderId="20" xfId="0" applyFont="1" applyBorder="1" applyAlignment="1">
      <alignment vertical="top" wrapText="1"/>
    </xf>
    <xf numFmtId="194" fontId="34" fillId="0" borderId="20" xfId="35" applyFont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4" fillId="0" borderId="20" xfId="0" applyFont="1" applyFill="1" applyBorder="1" applyAlignment="1">
      <alignment horizontal="center" vertical="top" wrapText="1"/>
    </xf>
    <xf numFmtId="0" fontId="105" fillId="0" borderId="20" xfId="0" applyFont="1" applyFill="1" applyBorder="1" applyAlignment="1">
      <alignment vertical="top" wrapText="1"/>
    </xf>
    <xf numFmtId="200" fontId="34" fillId="0" borderId="20" xfId="35" applyNumberFormat="1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/>
    </xf>
    <xf numFmtId="0" fontId="34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vertical="top" wrapText="1"/>
    </xf>
    <xf numFmtId="200" fontId="34" fillId="0" borderId="0" xfId="35" applyNumberFormat="1" applyFont="1" applyBorder="1" applyAlignment="1">
      <alignment horizontal="center" vertical="top" wrapText="1"/>
    </xf>
    <xf numFmtId="0" fontId="113" fillId="0" borderId="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194" fontId="0" fillId="0" borderId="0" xfId="0" applyNumberFormat="1" applyFont="1" applyBorder="1" applyAlignment="1">
      <alignment/>
    </xf>
    <xf numFmtId="194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34" fillId="0" borderId="2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11" fillId="0" borderId="23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94" fontId="34" fillId="0" borderId="12" xfId="35" applyNumberFormat="1" applyFont="1" applyBorder="1" applyAlignment="1">
      <alignment horizontal="center" vertical="top" wrapText="1"/>
    </xf>
    <xf numFmtId="194" fontId="34" fillId="0" borderId="10" xfId="35" applyNumberFormat="1" applyFont="1" applyBorder="1" applyAlignment="1">
      <alignment vertical="top" wrapText="1"/>
    </xf>
    <xf numFmtId="194" fontId="34" fillId="0" borderId="20" xfId="35" applyNumberFormat="1" applyFont="1" applyBorder="1" applyAlignment="1">
      <alignment horizontal="center" vertical="top" wrapText="1"/>
    </xf>
    <xf numFmtId="200" fontId="34" fillId="0" borderId="10" xfId="35" applyNumberFormat="1" applyFont="1" applyFill="1" applyBorder="1" applyAlignment="1">
      <alignment horizontal="center" vertical="top" wrapText="1"/>
    </xf>
    <xf numFmtId="3" fontId="34" fillId="0" borderId="14" xfId="0" applyNumberFormat="1" applyFont="1" applyBorder="1" applyAlignment="1">
      <alignment horizontal="right"/>
    </xf>
    <xf numFmtId="200" fontId="34" fillId="0" borderId="15" xfId="35" applyNumberFormat="1" applyFont="1" applyBorder="1" applyAlignment="1">
      <alignment vertical="top" wrapText="1"/>
    </xf>
    <xf numFmtId="200" fontId="34" fillId="0" borderId="10" xfId="35" applyNumberFormat="1" applyFont="1" applyBorder="1" applyAlignment="1">
      <alignment/>
    </xf>
    <xf numFmtId="200" fontId="34" fillId="0" borderId="12" xfId="35" applyNumberFormat="1" applyFont="1" applyBorder="1" applyAlignment="1">
      <alignment/>
    </xf>
    <xf numFmtId="194" fontId="34" fillId="0" borderId="16" xfId="35" applyFont="1" applyBorder="1" applyAlignment="1">
      <alignment/>
    </xf>
    <xf numFmtId="3" fontId="34" fillId="0" borderId="11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194" fontId="44" fillId="0" borderId="0" xfId="35" applyFont="1" applyBorder="1" applyAlignment="1">
      <alignment horizontal="center"/>
    </xf>
    <xf numFmtId="0" fontId="1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indent="3"/>
    </xf>
    <xf numFmtId="0" fontId="45" fillId="0" borderId="0" xfId="0" applyFont="1" applyBorder="1" applyAlignment="1">
      <alignment/>
    </xf>
    <xf numFmtId="194" fontId="20" fillId="0" borderId="39" xfId="35" applyFont="1" applyBorder="1" applyAlignment="1">
      <alignment horizontal="center"/>
    </xf>
    <xf numFmtId="0" fontId="52" fillId="0" borderId="0" xfId="0" applyFont="1" applyAlignment="1">
      <alignment horizontal="right"/>
    </xf>
    <xf numFmtId="194" fontId="43" fillId="0" borderId="33" xfId="0" applyNumberFormat="1" applyFont="1" applyBorder="1" applyAlignment="1">
      <alignment/>
    </xf>
    <xf numFmtId="194" fontId="50" fillId="0" borderId="30" xfId="35" applyFont="1" applyBorder="1" applyAlignment="1">
      <alignment/>
    </xf>
    <xf numFmtId="0" fontId="49" fillId="0" borderId="10" xfId="0" applyFont="1" applyBorder="1" applyAlignment="1">
      <alignment/>
    </xf>
    <xf numFmtId="0" fontId="103" fillId="0" borderId="16" xfId="0" applyFont="1" applyBorder="1" applyAlignment="1">
      <alignment/>
    </xf>
    <xf numFmtId="0" fontId="49" fillId="0" borderId="16" xfId="0" applyFont="1" applyBorder="1" applyAlignment="1">
      <alignment/>
    </xf>
    <xf numFmtId="194" fontId="49" fillId="0" borderId="16" xfId="0" applyNumberFormat="1" applyFont="1" applyBorder="1" applyAlignment="1">
      <alignment/>
    </xf>
    <xf numFmtId="0" fontId="34" fillId="0" borderId="38" xfId="0" applyFont="1" applyBorder="1" applyAlignment="1">
      <alignment horizontal="center"/>
    </xf>
    <xf numFmtId="194" fontId="43" fillId="0" borderId="38" xfId="35" applyFont="1" applyBorder="1" applyAlignment="1">
      <alignment/>
    </xf>
    <xf numFmtId="194" fontId="50" fillId="0" borderId="38" xfId="35" applyFont="1" applyBorder="1" applyAlignment="1">
      <alignment/>
    </xf>
    <xf numFmtId="194" fontId="50" fillId="0" borderId="39" xfId="0" applyNumberFormat="1" applyFont="1" applyBorder="1" applyAlignment="1">
      <alignment/>
    </xf>
    <xf numFmtId="194" fontId="50" fillId="0" borderId="16" xfId="35" applyFont="1" applyBorder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94" fontId="50" fillId="0" borderId="0" xfId="35" applyFont="1" applyBorder="1" applyAlignment="1">
      <alignment/>
    </xf>
    <xf numFmtId="0" fontId="50" fillId="0" borderId="38" xfId="0" applyFont="1" applyBorder="1" applyAlignment="1">
      <alignment/>
    </xf>
    <xf numFmtId="0" fontId="49" fillId="0" borderId="42" xfId="0" applyFont="1" applyBorder="1" applyAlignment="1">
      <alignment/>
    </xf>
    <xf numFmtId="0" fontId="34" fillId="0" borderId="47" xfId="0" applyFont="1" applyBorder="1" applyAlignment="1">
      <alignment/>
    </xf>
    <xf numFmtId="0" fontId="49" fillId="0" borderId="48" xfId="0" applyFont="1" applyBorder="1" applyAlignment="1">
      <alignment horizontal="center"/>
    </xf>
    <xf numFmtId="0" fontId="54" fillId="0" borderId="31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41" xfId="0" applyFont="1" applyBorder="1" applyAlignment="1">
      <alignment horizontal="center"/>
    </xf>
    <xf numFmtId="0" fontId="108" fillId="0" borderId="26" xfId="0" applyFont="1" applyBorder="1" applyAlignment="1">
      <alignment/>
    </xf>
    <xf numFmtId="0" fontId="0" fillId="0" borderId="15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200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04" fontId="0" fillId="0" borderId="10" xfId="0" applyNumberFormat="1" applyFont="1" applyBorder="1" applyAlignment="1">
      <alignment horizontal="center" vertical="top" wrapText="1"/>
    </xf>
    <xf numFmtId="200" fontId="0" fillId="0" borderId="10" xfId="35" applyNumberFormat="1" applyFont="1" applyBorder="1" applyAlignment="1">
      <alignment horizontal="center" vertical="top" wrapText="1"/>
    </xf>
    <xf numFmtId="0" fontId="116" fillId="0" borderId="10" xfId="0" applyFont="1" applyBorder="1" applyAlignment="1">
      <alignment/>
    </xf>
    <xf numFmtId="204" fontId="0" fillId="0" borderId="20" xfId="0" applyNumberFormat="1" applyFont="1" applyBorder="1" applyAlignment="1">
      <alignment horizontal="center" vertical="top" wrapText="1"/>
    </xf>
    <xf numFmtId="0" fontId="105" fillId="0" borderId="12" xfId="0" applyFont="1" applyBorder="1" applyAlignment="1" quotePrefix="1">
      <alignment vertical="top" wrapText="1"/>
    </xf>
    <xf numFmtId="0" fontId="105" fillId="0" borderId="10" xfId="0" applyFont="1" applyBorder="1" applyAlignment="1" quotePrefix="1">
      <alignment vertical="top" wrapText="1"/>
    </xf>
    <xf numFmtId="0" fontId="105" fillId="0" borderId="0" xfId="0" applyFont="1" applyBorder="1" applyAlignment="1" quotePrefix="1">
      <alignment vertical="top" wrapText="1"/>
    </xf>
    <xf numFmtId="0" fontId="105" fillId="0" borderId="0" xfId="0" applyFont="1" applyBorder="1" applyAlignment="1">
      <alignment vertical="top" wrapText="1"/>
    </xf>
    <xf numFmtId="194" fontId="34" fillId="0" borderId="10" xfId="35" applyFont="1" applyBorder="1" applyAlignment="1">
      <alignment/>
    </xf>
    <xf numFmtId="200" fontId="34" fillId="0" borderId="15" xfId="35" applyNumberFormat="1" applyFont="1" applyBorder="1" applyAlignment="1">
      <alignment/>
    </xf>
    <xf numFmtId="194" fontId="34" fillId="0" borderId="12" xfId="35" applyFont="1" applyBorder="1" applyAlignment="1">
      <alignment horizontal="center"/>
    </xf>
    <xf numFmtId="194" fontId="0" fillId="0" borderId="10" xfId="35" applyFont="1" applyBorder="1" applyAlignment="1">
      <alignment horizontal="center"/>
    </xf>
    <xf numFmtId="0" fontId="34" fillId="0" borderId="14" xfId="0" applyFont="1" applyBorder="1" applyAlignment="1">
      <alignment vertical="top" wrapText="1"/>
    </xf>
    <xf numFmtId="204" fontId="0" fillId="0" borderId="15" xfId="0" applyNumberFormat="1" applyFont="1" applyBorder="1" applyAlignment="1">
      <alignment horizontal="center" vertical="top" wrapText="1"/>
    </xf>
    <xf numFmtId="0" fontId="112" fillId="0" borderId="11" xfId="0" applyFont="1" applyBorder="1" applyAlignment="1">
      <alignment/>
    </xf>
    <xf numFmtId="0" fontId="113" fillId="0" borderId="20" xfId="0" applyFont="1" applyBorder="1" applyAlignment="1">
      <alignment/>
    </xf>
    <xf numFmtId="49" fontId="34" fillId="0" borderId="20" xfId="0" applyNumberFormat="1" applyFont="1" applyBorder="1" applyAlignment="1">
      <alignment horizontal="center"/>
    </xf>
    <xf numFmtId="0" fontId="34" fillId="0" borderId="20" xfId="0" applyFont="1" applyBorder="1" applyAlignment="1">
      <alignment/>
    </xf>
    <xf numFmtId="194" fontId="71" fillId="0" borderId="11" xfId="35" applyFont="1" applyBorder="1" applyAlignment="1">
      <alignment horizontal="center"/>
    </xf>
    <xf numFmtId="0" fontId="49" fillId="0" borderId="49" xfId="0" applyFont="1" applyBorder="1" applyAlignment="1">
      <alignment/>
    </xf>
    <xf numFmtId="0" fontId="20" fillId="0" borderId="4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76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8" fillId="0" borderId="2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4" fillId="0" borderId="0" xfId="0" applyFont="1" applyAlignment="1">
      <alignment horizontal="center"/>
    </xf>
    <xf numFmtId="0" fontId="114" fillId="0" borderId="17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49" fillId="0" borderId="20" xfId="0" applyFont="1" applyBorder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28</xdr:row>
      <xdr:rowOff>0</xdr:rowOff>
    </xdr:from>
    <xdr:to>
      <xdr:col>7</xdr:col>
      <xdr:colOff>504825</xdr:colOff>
      <xdr:row>29</xdr:row>
      <xdr:rowOff>0</xdr:rowOff>
    </xdr:to>
    <xdr:sp>
      <xdr:nvSpPr>
        <xdr:cNvPr id="1" name="Rectangle 3"/>
        <xdr:cNvSpPr>
          <a:spLocks/>
        </xdr:cNvSpPr>
      </xdr:nvSpPr>
      <xdr:spPr>
        <a:xfrm flipH="1" flipV="1">
          <a:off x="7429500" y="77628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2</xdr:col>
      <xdr:colOff>409575</xdr:colOff>
      <xdr:row>24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625" y="6667500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(ลงชื่อ)............................................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     (นางข้อหนัน   เจะดุหมัน)
</a:t>
          </a:r>
          <a:r>
            <a:rPr lang="en-US" cap="none" sz="1200" b="0" i="0" u="none" baseline="0">
              <a:solidFill>
                <a:srgbClr val="000000"/>
              </a:solidFill>
            </a:rPr>
            <a:t>             หัวหน้าส่วนการคลัง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2</xdr:col>
      <xdr:colOff>447675</xdr:colOff>
      <xdr:row>24</xdr:row>
      <xdr:rowOff>0</xdr:rowOff>
    </xdr:from>
    <xdr:to>
      <xdr:col>3</xdr:col>
      <xdr:colOff>523875</xdr:colOff>
      <xdr:row>24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571875" y="6667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(ลงชื่อ)...........................................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     (นายเสน่ห์   อ่อนเกตุพล)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ปลัด อบต.</a:t>
          </a:r>
        </a:p>
      </xdr:txBody>
    </xdr:sp>
    <xdr:clientData/>
  </xdr:twoCellAnchor>
  <xdr:twoCellAnchor>
    <xdr:from>
      <xdr:col>3</xdr:col>
      <xdr:colOff>523875</xdr:colOff>
      <xdr:row>24</xdr:row>
      <xdr:rowOff>0</xdr:rowOff>
    </xdr:from>
    <xdr:to>
      <xdr:col>5</xdr:col>
      <xdr:colOff>895350</xdr:colOff>
      <xdr:row>24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095750" y="66675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(ลงชื่อ)...........................................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    (นายสุทัศน์   พูลเสน)
</a:t>
          </a:r>
          <a:r>
            <a:rPr lang="en-US" cap="none" sz="1200" b="0" i="0" u="none" baseline="0">
              <a:solidFill>
                <a:srgbClr val="000000"/>
              </a:solidFill>
            </a:rPr>
            <a:t>             นายก อบต.              </a:t>
          </a:r>
        </a:p>
      </xdr:txBody>
    </xdr:sp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409575</xdr:colOff>
      <xdr:row>25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7625" y="6943725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(ลงชื่อ)............................................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     (นางข้อหนัน   เจะดุหมัน)
</a:t>
          </a:r>
          <a:r>
            <a:rPr lang="en-US" cap="none" sz="1200" b="0" i="0" u="none" baseline="0">
              <a:solidFill>
                <a:srgbClr val="000000"/>
              </a:solidFill>
            </a:rPr>
            <a:t>             หัวหน้าส่วนการคลัง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2</xdr:col>
      <xdr:colOff>447675</xdr:colOff>
      <xdr:row>25</xdr:row>
      <xdr:rowOff>0</xdr:rowOff>
    </xdr:from>
    <xdr:to>
      <xdr:col>3</xdr:col>
      <xdr:colOff>523875</xdr:colOff>
      <xdr:row>25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3571875" y="69437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(ลงชื่อ)...........................................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     (นายเสน่ห์   อ่อนเกตุพล)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ปลัด อบต.</a:t>
          </a:r>
        </a:p>
      </xdr:txBody>
    </xdr:sp>
    <xdr:clientData/>
  </xdr:twoCellAnchor>
  <xdr:twoCellAnchor>
    <xdr:from>
      <xdr:col>3</xdr:col>
      <xdr:colOff>523875</xdr:colOff>
      <xdr:row>25</xdr:row>
      <xdr:rowOff>0</xdr:rowOff>
    </xdr:from>
    <xdr:to>
      <xdr:col>5</xdr:col>
      <xdr:colOff>895350</xdr:colOff>
      <xdr:row>25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4095750" y="69437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(ลงชื่อ)...........................................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    (นายสุทัศน์   พูลเสน)
</a:t>
          </a:r>
          <a:r>
            <a:rPr lang="en-US" cap="none" sz="1200" b="0" i="0" u="none" baseline="0">
              <a:solidFill>
                <a:srgbClr val="000000"/>
              </a:solidFill>
            </a:rPr>
            <a:t>             นายก อบต.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38</xdr:row>
      <xdr:rowOff>0</xdr:rowOff>
    </xdr:from>
    <xdr:to>
      <xdr:col>2</xdr:col>
      <xdr:colOff>1781175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10477500"/>
          <a:ext cx="2076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2</xdr:col>
      <xdr:colOff>1771650</xdr:colOff>
      <xdr:row>38</xdr:row>
      <xdr:rowOff>0</xdr:rowOff>
    </xdr:from>
    <xdr:to>
      <xdr:col>3</xdr:col>
      <xdr:colOff>914400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52725" y="10477500"/>
          <a:ext cx="1114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37</xdr:row>
      <xdr:rowOff>0</xdr:rowOff>
    </xdr:from>
    <xdr:to>
      <xdr:col>7</xdr:col>
      <xdr:colOff>809625</xdr:colOff>
      <xdr:row>37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3838575" y="10201275"/>
          <a:ext cx="3086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666750</xdr:colOff>
      <xdr:row>165</xdr:row>
      <xdr:rowOff>0</xdr:rowOff>
    </xdr:from>
    <xdr:to>
      <xdr:col>19</xdr:col>
      <xdr:colOff>504825</xdr:colOff>
      <xdr:row>165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591425" y="49987200"/>
          <a:ext cx="673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8</xdr:col>
      <xdr:colOff>114300</xdr:colOff>
      <xdr:row>165</xdr:row>
      <xdr:rowOff>0</xdr:rowOff>
    </xdr:from>
    <xdr:to>
      <xdr:col>18</xdr:col>
      <xdr:colOff>561975</xdr:colOff>
      <xdr:row>165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038975" y="49987200"/>
          <a:ext cx="673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0</xdr:col>
      <xdr:colOff>0</xdr:colOff>
      <xdr:row>113</xdr:row>
      <xdr:rowOff>190500</xdr:rowOff>
    </xdr:from>
    <xdr:to>
      <xdr:col>18</xdr:col>
      <xdr:colOff>419100</xdr:colOff>
      <xdr:row>118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33918525"/>
          <a:ext cx="136302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3</xdr:col>
      <xdr:colOff>885825</xdr:colOff>
      <xdr:row>81</xdr:row>
      <xdr:rowOff>0</xdr:rowOff>
    </xdr:from>
    <xdr:to>
      <xdr:col>7</xdr:col>
      <xdr:colOff>809625</xdr:colOff>
      <xdr:row>81</xdr:row>
      <xdr:rowOff>47625</xdr:rowOff>
    </xdr:to>
    <xdr:sp>
      <xdr:nvSpPr>
        <xdr:cNvPr id="7" name="Rectangle 11"/>
        <xdr:cNvSpPr>
          <a:spLocks/>
        </xdr:cNvSpPr>
      </xdr:nvSpPr>
      <xdr:spPr>
        <a:xfrm>
          <a:off x="3838575" y="23488650"/>
          <a:ext cx="3086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119</xdr:row>
      <xdr:rowOff>0</xdr:rowOff>
    </xdr:from>
    <xdr:to>
      <xdr:col>7</xdr:col>
      <xdr:colOff>809625</xdr:colOff>
      <xdr:row>119</xdr:row>
      <xdr:rowOff>47625</xdr:rowOff>
    </xdr:to>
    <xdr:sp>
      <xdr:nvSpPr>
        <xdr:cNvPr id="8" name="Rectangle 13"/>
        <xdr:cNvSpPr>
          <a:spLocks/>
        </xdr:cNvSpPr>
      </xdr:nvSpPr>
      <xdr:spPr>
        <a:xfrm>
          <a:off x="3838575" y="35385375"/>
          <a:ext cx="3086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144</xdr:row>
      <xdr:rowOff>295275</xdr:rowOff>
    </xdr:from>
    <xdr:to>
      <xdr:col>7</xdr:col>
      <xdr:colOff>581025</xdr:colOff>
      <xdr:row>148</xdr:row>
      <xdr:rowOff>171450</xdr:rowOff>
    </xdr:to>
    <xdr:sp>
      <xdr:nvSpPr>
        <xdr:cNvPr id="9" name="Rectangle 15"/>
        <xdr:cNvSpPr>
          <a:spLocks/>
        </xdr:cNvSpPr>
      </xdr:nvSpPr>
      <xdr:spPr>
        <a:xfrm>
          <a:off x="85725" y="43929300"/>
          <a:ext cx="66103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3</xdr:col>
      <xdr:colOff>885825</xdr:colOff>
      <xdr:row>150</xdr:row>
      <xdr:rowOff>0</xdr:rowOff>
    </xdr:from>
    <xdr:to>
      <xdr:col>7</xdr:col>
      <xdr:colOff>809625</xdr:colOff>
      <xdr:row>150</xdr:row>
      <xdr:rowOff>47625</xdr:rowOff>
    </xdr:to>
    <xdr:sp>
      <xdr:nvSpPr>
        <xdr:cNvPr id="10" name="Rectangle 16"/>
        <xdr:cNvSpPr>
          <a:spLocks/>
        </xdr:cNvSpPr>
      </xdr:nvSpPr>
      <xdr:spPr>
        <a:xfrm>
          <a:off x="3838575" y="45558075"/>
          <a:ext cx="3086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0</xdr:rowOff>
    </xdr:from>
    <xdr:to>
      <xdr:col>0</xdr:col>
      <xdr:colOff>1057275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658177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    (นางข้อหนัน   เจะดุหมัน)
</a:t>
          </a:r>
          <a:r>
            <a:rPr lang="en-US" cap="none" sz="1300" b="0" i="0" u="none" baseline="0">
              <a:solidFill>
                <a:srgbClr val="000000"/>
              </a:solidFill>
            </a:rPr>
            <a:t>             หัวหน้าส่วนการคลัง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0</xdr:col>
      <xdr:colOff>1057275</xdr:colOff>
      <xdr:row>22</xdr:row>
      <xdr:rowOff>0</xdr:rowOff>
    </xdr:from>
    <xdr:to>
      <xdr:col>3</xdr:col>
      <xdr:colOff>876300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58177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    (นายเสน่ห์   อ่อนเกตุพล)
</a:t>
          </a:r>
          <a:r>
            <a:rPr lang="en-US" cap="none" sz="1300" b="0" i="0" u="none" baseline="0">
              <a:solidFill>
                <a:srgbClr val="000000"/>
              </a:solidFill>
            </a:rPr>
            <a:t>                  ปลัด อบต.</a:t>
          </a:r>
        </a:p>
      </xdr:txBody>
    </xdr:sp>
    <xdr:clientData/>
  </xdr:twoCellAnchor>
  <xdr:twoCellAnchor>
    <xdr:from>
      <xdr:col>3</xdr:col>
      <xdr:colOff>819150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14750" y="658177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       นายก อบต.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77</xdr:row>
      <xdr:rowOff>47625</xdr:rowOff>
    </xdr:from>
    <xdr:to>
      <xdr:col>7</xdr:col>
      <xdr:colOff>771525</xdr:colOff>
      <xdr:row>79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361950" y="20716875"/>
          <a:ext cx="6534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                               (ลงชื่อ)................................................                      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       (นางข้อหนัน   เจะดุหมัน)                                                                 (นายเสน่ห์   อ่อนเกตุพล)                          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     หัวหน้าส่วนการคลัง                                                                               ปลัด อบต.                         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1</xdr:col>
      <xdr:colOff>114300</xdr:colOff>
      <xdr:row>112</xdr:row>
      <xdr:rowOff>47625</xdr:rowOff>
    </xdr:from>
    <xdr:to>
      <xdr:col>7</xdr:col>
      <xdr:colOff>771525</xdr:colOff>
      <xdr:row>114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361950" y="30422850"/>
          <a:ext cx="6534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                               (ลงชื่อ)................................................                      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       (นางข้อหนัน   เจะดุหมัน)                                                                 (นายเสน่ห์   อ่อนเกตุพล)                          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     หัวหน้าส่วนการคลัง                                                                               ปลัด อบต.                         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428625</xdr:colOff>
      <xdr:row>47</xdr:row>
      <xdr:rowOff>104775</xdr:rowOff>
    </xdr:from>
    <xdr:to>
      <xdr:col>30</xdr:col>
      <xdr:colOff>561975</xdr:colOff>
      <xdr:row>48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0097750" y="12592050"/>
          <a:ext cx="3181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2</xdr:col>
      <xdr:colOff>1771650</xdr:colOff>
      <xdr:row>46</xdr:row>
      <xdr:rowOff>0</xdr:rowOff>
    </xdr:from>
    <xdr:to>
      <xdr:col>3</xdr:col>
      <xdr:colOff>838200</xdr:colOff>
      <xdr:row>47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76650" y="12172950"/>
          <a:ext cx="847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115</xdr:row>
      <xdr:rowOff>0</xdr:rowOff>
    </xdr:from>
    <xdr:to>
      <xdr:col>13</xdr:col>
      <xdr:colOff>57150</xdr:colOff>
      <xdr:row>115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9991725" y="3109912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8</xdr:col>
      <xdr:colOff>552450</xdr:colOff>
      <xdr:row>114</xdr:row>
      <xdr:rowOff>57150</xdr:rowOff>
    </xdr:from>
    <xdr:to>
      <xdr:col>12</xdr:col>
      <xdr:colOff>66675</xdr:colOff>
      <xdr:row>115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8829675" y="30908625"/>
          <a:ext cx="2686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57150</xdr:rowOff>
    </xdr:from>
    <xdr:to>
      <xdr:col>7</xdr:col>
      <xdr:colOff>781050</xdr:colOff>
      <xdr:row>81</xdr:row>
      <xdr:rowOff>314325</xdr:rowOff>
    </xdr:to>
    <xdr:sp>
      <xdr:nvSpPr>
        <xdr:cNvPr id="5" name="Rectangle 24"/>
        <xdr:cNvSpPr>
          <a:spLocks/>
        </xdr:cNvSpPr>
      </xdr:nvSpPr>
      <xdr:spPr>
        <a:xfrm>
          <a:off x="0" y="21602700"/>
          <a:ext cx="8277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0</xdr:col>
      <xdr:colOff>38100</xdr:colOff>
      <xdr:row>118</xdr:row>
      <xdr:rowOff>47625</xdr:rowOff>
    </xdr:from>
    <xdr:to>
      <xdr:col>7</xdr:col>
      <xdr:colOff>781050</xdr:colOff>
      <xdr:row>121</xdr:row>
      <xdr:rowOff>0</xdr:rowOff>
    </xdr:to>
    <xdr:sp>
      <xdr:nvSpPr>
        <xdr:cNvPr id="6" name="Rectangle 26"/>
        <xdr:cNvSpPr>
          <a:spLocks/>
        </xdr:cNvSpPr>
      </xdr:nvSpPr>
      <xdr:spPr>
        <a:xfrm>
          <a:off x="38100" y="31889700"/>
          <a:ext cx="82391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0</xdr:col>
      <xdr:colOff>38100</xdr:colOff>
      <xdr:row>160</xdr:row>
      <xdr:rowOff>47625</xdr:rowOff>
    </xdr:from>
    <xdr:to>
      <xdr:col>7</xdr:col>
      <xdr:colOff>781050</xdr:colOff>
      <xdr:row>163</xdr:row>
      <xdr:rowOff>123825</xdr:rowOff>
    </xdr:to>
    <xdr:sp>
      <xdr:nvSpPr>
        <xdr:cNvPr id="7" name="Rectangle 27"/>
        <xdr:cNvSpPr>
          <a:spLocks/>
        </xdr:cNvSpPr>
      </xdr:nvSpPr>
      <xdr:spPr>
        <a:xfrm>
          <a:off x="38100" y="42481500"/>
          <a:ext cx="8239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0</xdr:col>
      <xdr:colOff>38100</xdr:colOff>
      <xdr:row>160</xdr:row>
      <xdr:rowOff>47625</xdr:rowOff>
    </xdr:from>
    <xdr:to>
      <xdr:col>7</xdr:col>
      <xdr:colOff>781050</xdr:colOff>
      <xdr:row>163</xdr:row>
      <xdr:rowOff>123825</xdr:rowOff>
    </xdr:to>
    <xdr:sp>
      <xdr:nvSpPr>
        <xdr:cNvPr id="8" name="Rectangle 28"/>
        <xdr:cNvSpPr>
          <a:spLocks/>
        </xdr:cNvSpPr>
      </xdr:nvSpPr>
      <xdr:spPr>
        <a:xfrm>
          <a:off x="38100" y="42481500"/>
          <a:ext cx="8239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0</xdr:col>
      <xdr:colOff>38100</xdr:colOff>
      <xdr:row>188</xdr:row>
      <xdr:rowOff>47625</xdr:rowOff>
    </xdr:from>
    <xdr:to>
      <xdr:col>7</xdr:col>
      <xdr:colOff>781050</xdr:colOff>
      <xdr:row>191</xdr:row>
      <xdr:rowOff>123825</xdr:rowOff>
    </xdr:to>
    <xdr:sp>
      <xdr:nvSpPr>
        <xdr:cNvPr id="9" name="Rectangle 29"/>
        <xdr:cNvSpPr>
          <a:spLocks/>
        </xdr:cNvSpPr>
      </xdr:nvSpPr>
      <xdr:spPr>
        <a:xfrm>
          <a:off x="38100" y="49415700"/>
          <a:ext cx="8239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0</xdr:col>
      <xdr:colOff>38100</xdr:colOff>
      <xdr:row>188</xdr:row>
      <xdr:rowOff>47625</xdr:rowOff>
    </xdr:from>
    <xdr:to>
      <xdr:col>7</xdr:col>
      <xdr:colOff>781050</xdr:colOff>
      <xdr:row>191</xdr:row>
      <xdr:rowOff>123825</xdr:rowOff>
    </xdr:to>
    <xdr:sp>
      <xdr:nvSpPr>
        <xdr:cNvPr id="10" name="Rectangle 30"/>
        <xdr:cNvSpPr>
          <a:spLocks/>
        </xdr:cNvSpPr>
      </xdr:nvSpPr>
      <xdr:spPr>
        <a:xfrm>
          <a:off x="38100" y="49415700"/>
          <a:ext cx="8239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(ลงชื่อ)............................................           (ลงชื่อ)................................................          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(นางข้อหนัน   เจะดุหมัน)                          (นายเสน่ห์   อ่อนเกตุพล)                            (นายสุทัศน์  พูลเสน)
</a:t>
          </a:r>
          <a:r>
            <a:rPr lang="en-US" cap="none" sz="1300" b="0" i="0" u="none" baseline="0">
              <a:solidFill>
                <a:srgbClr val="000000"/>
              </a:solidFill>
            </a:rPr>
            <a:t>        หัวหน้าส่วนการคลัง                                     ปลัด อบต.                                             นายก อบต.
</a:t>
          </a:r>
          <a:r>
            <a:rPr lang="en-US" cap="none" sz="13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2</xdr:col>
      <xdr:colOff>1771650</xdr:colOff>
      <xdr:row>5</xdr:row>
      <xdr:rowOff>0</xdr:rowOff>
    </xdr:from>
    <xdr:to>
      <xdr:col>3</xdr:col>
      <xdr:colOff>838200</xdr:colOff>
      <xdr:row>6</xdr:row>
      <xdr:rowOff>0</xdr:rowOff>
    </xdr:to>
    <xdr:sp>
      <xdr:nvSpPr>
        <xdr:cNvPr id="11" name="Rectangle 31"/>
        <xdr:cNvSpPr>
          <a:spLocks/>
        </xdr:cNvSpPr>
      </xdr:nvSpPr>
      <xdr:spPr>
        <a:xfrm>
          <a:off x="3676650" y="1476375"/>
          <a:ext cx="84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5</xdr:row>
      <xdr:rowOff>0</xdr:rowOff>
    </xdr:from>
    <xdr:to>
      <xdr:col>10</xdr:col>
      <xdr:colOff>847725</xdr:colOff>
      <xdr:row>6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9991725" y="1476375"/>
          <a:ext cx="84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5</xdr:row>
      <xdr:rowOff>0</xdr:rowOff>
    </xdr:from>
    <xdr:to>
      <xdr:col>10</xdr:col>
      <xdr:colOff>847725</xdr:colOff>
      <xdr:row>6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9991725" y="1476375"/>
          <a:ext cx="84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0">
      <selection activeCell="G7" sqref="G7"/>
    </sheetView>
  </sheetViews>
  <sheetFormatPr defaultColWidth="9.140625" defaultRowHeight="21.75"/>
  <cols>
    <col min="1" max="1" width="2.8515625" style="2" customWidth="1"/>
    <col min="2" max="2" width="44.00390625" style="2" customWidth="1"/>
    <col min="3" max="3" width="6.7109375" style="2" customWidth="1"/>
    <col min="4" max="4" width="7.8515625" style="2" customWidth="1"/>
    <col min="5" max="5" width="16.7109375" style="2" customWidth="1"/>
    <col min="6" max="8" width="15.00390625" style="2" customWidth="1"/>
    <col min="9" max="16384" width="9.140625" style="2" customWidth="1"/>
  </cols>
  <sheetData>
    <row r="1" spans="1:6" s="30" customFormat="1" ht="24.75" customHeight="1">
      <c r="A1" s="809"/>
      <c r="B1" s="809"/>
      <c r="C1" s="809"/>
      <c r="D1" s="809"/>
      <c r="E1" s="809"/>
      <c r="F1" s="809"/>
    </row>
    <row r="2" spans="1:6" s="30" customFormat="1" ht="24.75" customHeight="1">
      <c r="A2" s="810" t="s">
        <v>1153</v>
      </c>
      <c r="B2" s="810"/>
      <c r="C2" s="810"/>
      <c r="D2" s="810"/>
      <c r="E2" s="810"/>
      <c r="F2" s="810"/>
    </row>
    <row r="3" spans="1:6" s="30" customFormat="1" ht="24.75" customHeight="1">
      <c r="A3" s="810" t="s">
        <v>475</v>
      </c>
      <c r="B3" s="810"/>
      <c r="C3" s="810"/>
      <c r="D3" s="810"/>
      <c r="E3" s="810"/>
      <c r="F3" s="810"/>
    </row>
    <row r="4" spans="1:6" ht="26.25">
      <c r="A4" s="810" t="s">
        <v>1221</v>
      </c>
      <c r="B4" s="810"/>
      <c r="C4" s="810"/>
      <c r="D4" s="810"/>
      <c r="E4" s="810"/>
      <c r="F4" s="810"/>
    </row>
    <row r="5" spans="1:7" ht="21">
      <c r="A5" s="811" t="s">
        <v>1163</v>
      </c>
      <c r="B5" s="811"/>
      <c r="C5" s="811"/>
      <c r="D5" s="502" t="s">
        <v>438</v>
      </c>
      <c r="E5" s="502" t="s">
        <v>1164</v>
      </c>
      <c r="F5" s="502" t="s">
        <v>1128</v>
      </c>
      <c r="G5" s="82"/>
    </row>
    <row r="6" spans="1:7" ht="21">
      <c r="A6" s="503"/>
      <c r="B6" s="504" t="s">
        <v>869</v>
      </c>
      <c r="C6" s="505"/>
      <c r="D6" s="436">
        <v>10</v>
      </c>
      <c r="E6" s="437"/>
      <c r="F6" s="438"/>
      <c r="G6" s="82"/>
    </row>
    <row r="7" spans="1:7" ht="21">
      <c r="A7" s="506"/>
      <c r="B7" s="507" t="s">
        <v>1239</v>
      </c>
      <c r="C7" s="508"/>
      <c r="D7" s="436">
        <v>21</v>
      </c>
      <c r="E7" s="439">
        <f>658812.04+984494.38-658812.04+1783316.93-2572212.31+2502241.38-2333771.95+1763699.88-2800-1952453.31</f>
        <v>172514.99999999907</v>
      </c>
      <c r="F7" s="32"/>
      <c r="G7" s="82"/>
    </row>
    <row r="8" spans="1:7" ht="21">
      <c r="A8" s="506"/>
      <c r="B8" s="507" t="s">
        <v>1165</v>
      </c>
      <c r="C8" s="508"/>
      <c r="D8" s="436">
        <v>22</v>
      </c>
      <c r="E8" s="439">
        <f>19718519.29+166359-1774106.73-1183500+5452293.96+69046+201227.57-705077.31-1160810+73550-12000000+330626-1182481.25-638231.86+73615.75+4909639.64+40873-1794499.7-1224781+72173.98+100000+985853.17-100+40205-544256-1524393.88+72235.98+658812.04+15928-1265319.03-1165180+71301.03+2572212.31+100000+65420-1191510-749676.8+2333771.95+69570.04+100000+130423.95-1615893.07-1230793+63823.86+1952453.31+144.06</f>
        <v>9489469.260000002</v>
      </c>
      <c r="F8" s="32"/>
      <c r="G8" s="82"/>
    </row>
    <row r="9" spans="1:7" ht="21">
      <c r="A9" s="506"/>
      <c r="B9" s="507" t="s">
        <v>1166</v>
      </c>
      <c r="C9" s="508"/>
      <c r="D9" s="436">
        <v>22</v>
      </c>
      <c r="E9" s="439">
        <f>1458879.39+50709+70268+101504+34440+50011.21+16230+95107-100000+70247+91767-100000+20009-100000+70653.04</f>
        <v>1829824.64</v>
      </c>
      <c r="F9" s="32"/>
      <c r="G9" s="115"/>
    </row>
    <row r="10" spans="1:6" ht="21">
      <c r="A10" s="506"/>
      <c r="B10" s="507" t="s">
        <v>1222</v>
      </c>
      <c r="C10" s="508"/>
      <c r="D10" s="436">
        <v>22</v>
      </c>
      <c r="E10" s="439">
        <f>1837.47+1176643.53-69046-69046-69046+330.43+897574.92-73550+12000000-73615.75-72173.98-72235.98-71301.03+45114.45-69570.04-63823.86</f>
        <v>13418092.16</v>
      </c>
      <c r="F10" s="32"/>
    </row>
    <row r="11" spans="1:6" ht="21">
      <c r="A11" s="506"/>
      <c r="B11" s="507" t="s">
        <v>772</v>
      </c>
      <c r="C11" s="508"/>
      <c r="D11" s="436"/>
      <c r="E11" s="439">
        <f>12840-360</f>
        <v>12480</v>
      </c>
      <c r="F11" s="32"/>
    </row>
    <row r="12" spans="1:6" ht="21">
      <c r="A12" s="506"/>
      <c r="B12" s="507" t="s">
        <v>771</v>
      </c>
      <c r="C12" s="508"/>
      <c r="D12" s="436"/>
      <c r="E12" s="439">
        <f>71744.5-126.38-353.84-53.4-154.86-263.44-1472.95-1701.68-2127.1-1221.97-396.05-654.15+4673.48</f>
        <v>67892.16</v>
      </c>
      <c r="F12" s="32"/>
    </row>
    <row r="13" spans="1:6" ht="21">
      <c r="A13" s="506"/>
      <c r="B13" s="507" t="s">
        <v>773</v>
      </c>
      <c r="C13" s="508"/>
      <c r="D13" s="436"/>
      <c r="E13" s="439">
        <f>1000-400</f>
        <v>600</v>
      </c>
      <c r="F13" s="32"/>
    </row>
    <row r="14" spans="1:8" ht="21">
      <c r="A14" s="506"/>
      <c r="B14" s="507" t="s">
        <v>1241</v>
      </c>
      <c r="C14" s="508"/>
      <c r="D14" s="440" t="s">
        <v>1242</v>
      </c>
      <c r="E14" s="439">
        <f>62000-57940-4060+39400-6400-100+77760-89440+100-4920+68700-20900-30000+35000-1200+32700-35000+68764-125324-1340</f>
        <v>7800</v>
      </c>
      <c r="F14" s="32"/>
      <c r="H14" s="439">
        <f>31756+1272613-7000+131266+138500+493984-1500+2842+134000+488492+159534.14+133500+488320+115056.86+414757+191767+506320-500-1000+24272+431728+555820+5604+190600+554382+5604+187600+510282+93000-500+5604+230700+502782+15000+5604+230700+550882+5604+268800+545882+33000-65000</f>
        <v>9580658</v>
      </c>
    </row>
    <row r="15" spans="1:8" ht="21">
      <c r="A15" s="506"/>
      <c r="B15" s="507" t="s">
        <v>608</v>
      </c>
      <c r="C15" s="508"/>
      <c r="D15" s="436"/>
      <c r="E15" s="439"/>
      <c r="F15" s="32">
        <v>772500</v>
      </c>
      <c r="H15" s="439">
        <f>819100+163820+163820+163820+163820+163820+163820+163820</f>
        <v>1965840</v>
      </c>
    </row>
    <row r="16" spans="1:8" ht="21">
      <c r="A16" s="506"/>
      <c r="B16" s="507" t="s">
        <v>253</v>
      </c>
      <c r="C16" s="508"/>
      <c r="D16" s="436">
        <v>600</v>
      </c>
      <c r="E16" s="439"/>
      <c r="F16" s="32">
        <f>12641+224000+16800</f>
        <v>253441</v>
      </c>
      <c r="H16" s="439">
        <f>809440+161990+165380+165828+165620+170135+162910+162910</f>
        <v>1964213</v>
      </c>
    </row>
    <row r="17" spans="1:8" ht="21">
      <c r="A17" s="506"/>
      <c r="B17" s="507" t="s">
        <v>1223</v>
      </c>
      <c r="C17" s="508"/>
      <c r="D17" s="436"/>
      <c r="E17" s="439"/>
      <c r="F17" s="32">
        <v>7800</v>
      </c>
      <c r="H17" s="439">
        <f>9700+28180+9700+9810+9700+15430+9700+10930+9700+9430+9880+12430+9880+10930+9880+9430+9880+9880+9880+35250</f>
        <v>249600</v>
      </c>
    </row>
    <row r="18" spans="1:8" ht="21">
      <c r="A18" s="506"/>
      <c r="B18" s="507" t="s">
        <v>252</v>
      </c>
      <c r="C18" s="508"/>
      <c r="D18" s="436"/>
      <c r="E18" s="439"/>
      <c r="F18" s="32">
        <f>7093812.4+1168.37+1619626.2</f>
        <v>8714606.97</v>
      </c>
      <c r="H18" s="439">
        <f>47200+47200+47800+49200+47200+47600+32800+47200+47410+34040+47410+17440+47430+17950+47220+9440+47200+47210+43480</f>
        <v>772430</v>
      </c>
    </row>
    <row r="19" spans="1:8" ht="21">
      <c r="A19" s="506"/>
      <c r="B19" s="507" t="s">
        <v>1127</v>
      </c>
      <c r="C19" s="508"/>
      <c r="D19" s="436">
        <v>700</v>
      </c>
      <c r="E19" s="439"/>
      <c r="F19" s="32">
        <f>8379914.4+3000+144.06+4858878.6+3505.11</f>
        <v>13245442.169999998</v>
      </c>
      <c r="H19" s="439">
        <f>40712+80888.76+11338+117352.1+17850+76380+123163+10600+43660+97906+58703.03+28110+131097.72+82018+50494-4000+96291.38+120606+65530-9600+66825.12+9600+18760+6000+108704+12000-1000+146954+73700+306628.87+56910</f>
        <v>2044181.98</v>
      </c>
    </row>
    <row r="20" spans="1:8" ht="21.75">
      <c r="A20" s="506"/>
      <c r="B20" s="507" t="s">
        <v>1168</v>
      </c>
      <c r="C20" s="508"/>
      <c r="D20" s="436">
        <v>900</v>
      </c>
      <c r="E20" s="439"/>
      <c r="F20" s="509">
        <v>175058.44</v>
      </c>
      <c r="H20" s="439">
        <f>47403.05+18691.05-1+26163+111263+46871.94+109470+527000-30000+51360.26+56180.1+44265.95+53768+263076.24+388595.56</f>
        <v>1714107.1500000001</v>
      </c>
    </row>
    <row r="21" spans="1:8" ht="21">
      <c r="A21" s="506"/>
      <c r="B21" s="507" t="s">
        <v>440</v>
      </c>
      <c r="C21" s="508"/>
      <c r="D21" s="436"/>
      <c r="E21" s="32"/>
      <c r="F21" s="32">
        <f>1458879.39+50709+70268+101504+34440+50011.21+16230+95107-100000+70247+91767-100000+20009-100000+70653.04</f>
        <v>1829824.64</v>
      </c>
      <c r="H21" s="439">
        <f>19895.22+16451.62+3125.95+21593.08+10782.53+13911.52+12831.05+17753.91+2783+11210.03+24438.95+12128.11+10564.25+4905.42+14847.8+23819.14+8413.68</f>
        <v>229455.26</v>
      </c>
    </row>
    <row r="22" spans="1:8" ht="21">
      <c r="A22" s="506"/>
      <c r="B22" s="507"/>
      <c r="C22" s="508"/>
      <c r="D22" s="436"/>
      <c r="E22" s="439"/>
      <c r="F22" s="32"/>
      <c r="H22" s="439">
        <f>1262080+5000+4000+82500+140000+45000+180000+10000</f>
        <v>1728580</v>
      </c>
    </row>
    <row r="23" spans="1:6" s="3" customFormat="1" ht="24" customHeight="1">
      <c r="A23" s="506"/>
      <c r="B23" s="507"/>
      <c r="C23" s="508"/>
      <c r="D23" s="436"/>
      <c r="E23" s="439"/>
      <c r="F23" s="509"/>
    </row>
    <row r="24" spans="1:7" ht="21.75">
      <c r="A24" s="506"/>
      <c r="B24" s="507"/>
      <c r="C24" s="508"/>
      <c r="D24" s="436"/>
      <c r="E24" s="83"/>
      <c r="F24" s="83"/>
      <c r="G24" s="3"/>
    </row>
    <row r="25" spans="1:6" ht="21.75" thickBot="1">
      <c r="A25" s="506"/>
      <c r="B25" s="508"/>
      <c r="C25" s="522"/>
      <c r="D25" s="521"/>
      <c r="E25" s="444">
        <f>SUM(E6:E24)</f>
        <v>24998673.220000003</v>
      </c>
      <c r="F25" s="445">
        <f>SUM(F7:F24)</f>
        <v>24998673.220000003</v>
      </c>
    </row>
    <row r="26" spans="1:6" ht="21.75" thickTop="1">
      <c r="A26" s="506"/>
      <c r="B26" s="508"/>
      <c r="C26" s="510"/>
      <c r="D26" s="457"/>
      <c r="E26" s="82"/>
      <c r="F26" s="82"/>
    </row>
    <row r="27" spans="1:6" ht="21">
      <c r="A27" s="506"/>
      <c r="B27" s="508"/>
      <c r="C27" s="510"/>
      <c r="D27" s="457"/>
      <c r="E27" s="82"/>
      <c r="F27" s="82"/>
    </row>
    <row r="28" spans="1:6" ht="21.75">
      <c r="A28" s="506"/>
      <c r="B28" s="136" t="s">
        <v>361</v>
      </c>
      <c r="C28" s="138"/>
      <c r="D28" s="143"/>
      <c r="E28" s="82"/>
      <c r="F28" s="82"/>
    </row>
    <row r="29" spans="1:6" ht="21.75">
      <c r="A29" s="506"/>
      <c r="B29" s="136" t="s">
        <v>362</v>
      </c>
      <c r="C29" s="138"/>
      <c r="D29" s="244"/>
      <c r="E29" s="511"/>
      <c r="F29" s="511"/>
    </row>
    <row r="30" spans="1:8" ht="21.75">
      <c r="A30" s="506"/>
      <c r="B30" s="136"/>
      <c r="C30" s="138"/>
      <c r="D30" s="143"/>
      <c r="E30" s="512"/>
      <c r="F30" s="512"/>
      <c r="H30" s="439">
        <f>819100+163820+163820+163820+163820+163820+163820+163820-678765.43</f>
        <v>1287074.5699999998</v>
      </c>
    </row>
    <row r="31" spans="1:8" ht="21">
      <c r="A31" s="4"/>
      <c r="B31" s="508"/>
      <c r="C31" s="508"/>
      <c r="D31" s="508"/>
      <c r="E31" s="508"/>
      <c r="F31" s="508"/>
      <c r="H31" s="439">
        <f>809440+161990+165380+165828+165620+170135+162910+162910</f>
        <v>1964213</v>
      </c>
    </row>
    <row r="32" spans="1:8" ht="21">
      <c r="A32" s="4"/>
      <c r="B32" s="508"/>
      <c r="C32" s="508"/>
      <c r="D32" s="508"/>
      <c r="E32" s="508"/>
      <c r="F32" s="508"/>
      <c r="H32" s="439"/>
    </row>
    <row r="33" spans="1:8" ht="21">
      <c r="A33" s="4"/>
      <c r="B33" s="508"/>
      <c r="C33" s="508"/>
      <c r="D33" s="508"/>
      <c r="E33" s="508"/>
      <c r="F33" s="508"/>
      <c r="H33" s="439"/>
    </row>
    <row r="34" spans="1:8" ht="21">
      <c r="A34" s="4"/>
      <c r="B34" s="508"/>
      <c r="C34" s="508"/>
      <c r="D34" s="508"/>
      <c r="E34" s="508"/>
      <c r="F34" s="508"/>
      <c r="H34" s="439"/>
    </row>
    <row r="35" spans="1:8" ht="20.25">
      <c r="A35" s="4"/>
      <c r="B35" s="4"/>
      <c r="C35" s="4"/>
      <c r="D35" s="4"/>
      <c r="E35" s="4"/>
      <c r="F35" s="4"/>
      <c r="H35" s="439">
        <f>9700+28180+9700+9810+9700+15430+9700+10930+9700+9430+9880+12430+9880+10930+9880+9430+9880+9880+9880+35250</f>
        <v>249600</v>
      </c>
    </row>
    <row r="36" spans="1:8" ht="22.5">
      <c r="A36" s="807" t="s">
        <v>1220</v>
      </c>
      <c r="B36" s="807"/>
      <c r="C36" s="807"/>
      <c r="D36" s="807"/>
      <c r="E36" s="807"/>
      <c r="F36" s="807"/>
      <c r="H36" s="439">
        <f>47200+47200+47800+49200+47200+47600+32800+47200+47410+34040+47410+17440+47430+17950+47220+9440+47200+47210+43480</f>
        <v>772430</v>
      </c>
    </row>
    <row r="37" spans="1:8" ht="20.25">
      <c r="A37" s="808" t="s">
        <v>1163</v>
      </c>
      <c r="B37" s="808"/>
      <c r="C37" s="808"/>
      <c r="D37" s="31" t="s">
        <v>438</v>
      </c>
      <c r="E37" s="31" t="s">
        <v>1164</v>
      </c>
      <c r="F37" s="31" t="s">
        <v>1128</v>
      </c>
      <c r="H37" s="439">
        <f>8550-1600+22224+6550+9455+8100+11740+9600+31039+18138+32004+4000+46871+9600+1500+12980+30363+27607+36392+3000</f>
        <v>328113</v>
      </c>
    </row>
    <row r="38" spans="1:8" ht="20.25">
      <c r="A38" s="81"/>
      <c r="B38" s="435" t="s">
        <v>869</v>
      </c>
      <c r="C38" s="81"/>
      <c r="D38" s="436">
        <v>10</v>
      </c>
      <c r="E38" s="437"/>
      <c r="F38" s="438"/>
      <c r="H38" s="439">
        <f>40712+80888.76+11338+117352.1+17850+76380+123163+10600+43660+97906+58703.03+28110+131097.72+82018+50494-4000+96291.38+120606+65530-9600+66825.12+9600+18760+6000+108704+12000-1000+146954+73700+306628.87+56910</f>
        <v>2044181.98</v>
      </c>
    </row>
    <row r="39" spans="1:8" ht="20.25">
      <c r="A39" s="4"/>
      <c r="B39" s="7" t="s">
        <v>1239</v>
      </c>
      <c r="C39" s="4"/>
      <c r="D39" s="436">
        <v>21</v>
      </c>
      <c r="E39" s="439">
        <f>593017.85+3069926.52-1476818.61+991094.76-2526125.76+1609561.04-1550356.76+579467.01-710299.04+2974037.84-2040467.01+746640.26-1531859.47+2752590.79-3332549.42</f>
        <v>147860</v>
      </c>
      <c r="F39" s="32"/>
      <c r="G39" s="439">
        <f>593017.85+3069926.52-1476818.61+991094.76-2526125.76+1609561.04-1550356.76+579467.01-710299.04+2974037.84-2040467.01+746640.26-1531859.47+2752590.79-3332549.42</f>
        <v>147860</v>
      </c>
      <c r="H39" s="439">
        <f>47403.05+18691.05-1+26163+111263+46871.94+109470+527000-30000+51360.26+56180.1+44265.95+53768+263076.24+388595.56+1500000</f>
        <v>3214107.1500000004</v>
      </c>
    </row>
    <row r="40" spans="1:8" ht="20.25">
      <c r="A40" s="4"/>
      <c r="B40" s="7" t="s">
        <v>1165</v>
      </c>
      <c r="C40" s="4"/>
      <c r="D40" s="436">
        <v>22</v>
      </c>
      <c r="E40" s="439">
        <f>15523747.92+654752.42-2272101.32+1476818.61+500+47313.9-2119998.15+2526125.76+23401.45-1710298.96+1550356.76+100000+2306372.42-3756355.35+710299.04-652.91+1172888.08-2613011.61+2040467.01+665000+78097-2084918.87+1531859.47+100000+105559.29-2613264.88+3332549.42</f>
        <v>16775506.499999998</v>
      </c>
      <c r="F40" s="32"/>
      <c r="G40" s="439">
        <f>15523747.92+654752.42-2272101.32+1476818.61+500+47313.9-2119998.15+2526125.76+23401.45-1710298.96+1550356.76+100000+2306372.42-3756355.35+710299.04-652.91+1172888.08-2613011.61+2040467.01+665000+78097-2084918.87+1531859.47+100000+105559.29-2613264.88+3332549.42</f>
        <v>16775506.499999998</v>
      </c>
      <c r="H40" s="439">
        <f>19895.22+16451.62+3125.95+21593.08+10782.53+13911.52+12831.05+17753.91+2783+11210.03+24438.95+12128.11+10564.25+4905.42+14847.8+23819.14+8413.68</f>
        <v>229455.26</v>
      </c>
    </row>
    <row r="41" spans="1:8" ht="20.25">
      <c r="A41" s="4"/>
      <c r="B41" s="7" t="s">
        <v>1166</v>
      </c>
      <c r="C41" s="4"/>
      <c r="D41" s="436">
        <v>22</v>
      </c>
      <c r="E41" s="439">
        <f>1251937.81+1809.93+20000+80146-100000+45000+132716.04+50037-100000+77232.61</f>
        <v>1458879.3900000001</v>
      </c>
      <c r="F41" s="32"/>
      <c r="G41" s="439">
        <f>1251937.81+1809.93+20000+80146-100000+45000+132716.04+50037-100000+77232.61</f>
        <v>1458879.3900000001</v>
      </c>
      <c r="H41" s="439">
        <f>1262080+5000+4000+82500+140000+45000+180000+10000</f>
        <v>1728580</v>
      </c>
    </row>
    <row r="42" spans="1:8" ht="20.25">
      <c r="A42" s="4"/>
      <c r="B42" s="7" t="s">
        <v>1240</v>
      </c>
      <c r="C42" s="4"/>
      <c r="D42" s="436">
        <v>22</v>
      </c>
      <c r="E42" s="439">
        <f>665682.1+1155.37-665000</f>
        <v>1837.469999999972</v>
      </c>
      <c r="F42" s="32"/>
      <c r="G42" s="439">
        <f>665682.1+1155.37-665000</f>
        <v>1837.469999999972</v>
      </c>
      <c r="H42" s="439">
        <f>34000+18000</f>
        <v>52000</v>
      </c>
    </row>
    <row r="43" spans="1:8" ht="20.25">
      <c r="A43" s="4"/>
      <c r="B43" s="7" t="s">
        <v>772</v>
      </c>
      <c r="C43" s="4"/>
      <c r="D43" s="436"/>
      <c r="E43" s="439">
        <v>12840</v>
      </c>
      <c r="F43" s="32"/>
      <c r="G43" s="115">
        <f>SUM(G39:G42)</f>
        <v>18384083.36</v>
      </c>
      <c r="H43" s="439">
        <f>2260000+1197000+460000</f>
        <v>3917000</v>
      </c>
    </row>
    <row r="44" spans="1:8" ht="20.25">
      <c r="A44" s="4"/>
      <c r="B44" s="7" t="s">
        <v>771</v>
      </c>
      <c r="C44" s="4"/>
      <c r="D44" s="436"/>
      <c r="E44" s="439">
        <v>71744.5</v>
      </c>
      <c r="F44" s="32"/>
      <c r="H44" s="439">
        <f>237250+25000</f>
        <v>262250</v>
      </c>
    </row>
    <row r="45" spans="1:8" ht="20.25">
      <c r="A45" s="4"/>
      <c r="B45" s="7" t="s">
        <v>773</v>
      </c>
      <c r="C45" s="4"/>
      <c r="D45" s="436"/>
      <c r="E45" s="439">
        <v>1000</v>
      </c>
      <c r="F45" s="32"/>
      <c r="H45" s="82">
        <v>110389.89</v>
      </c>
    </row>
    <row r="46" spans="1:8" ht="20.25">
      <c r="A46" s="4"/>
      <c r="B46" s="7" t="s">
        <v>1241</v>
      </c>
      <c r="C46" s="4"/>
      <c r="D46" s="440" t="s">
        <v>1242</v>
      </c>
      <c r="E46" s="439">
        <v>1500000</v>
      </c>
      <c r="F46" s="32"/>
      <c r="H46" s="115">
        <f>SUM(H30:H45)</f>
        <v>16159394.850000001</v>
      </c>
    </row>
    <row r="47" spans="1:8" ht="20.25">
      <c r="A47" s="4"/>
      <c r="B47" s="7" t="s">
        <v>1152</v>
      </c>
      <c r="C47" s="4"/>
      <c r="D47" s="436">
        <v>400</v>
      </c>
      <c r="E47" s="439"/>
      <c r="F47" s="32"/>
      <c r="H47" s="439">
        <f>8550-1600+22224+6550+9455+8100+11740+9600+31039+18138+32004+4000+46871+9600+1500+12980+30363+27607+36392+3000+647000</f>
        <v>975113</v>
      </c>
    </row>
    <row r="48" spans="1:8" ht="20.25">
      <c r="A48" s="4"/>
      <c r="B48" s="7" t="s">
        <v>1150</v>
      </c>
      <c r="C48" s="7"/>
      <c r="D48" s="436">
        <v>450</v>
      </c>
      <c r="E48" s="439"/>
      <c r="F48" s="32"/>
      <c r="H48" s="439">
        <f>40712+80888.76+11338+117352.1+17850+76380+123163+10600+43660+97906+58703.03+28110+131097.72+82018+50494-4000+96291.38+120606+65530-9600+66825.12+9600+18760+6000+108704+12000-1000+146954+73700+306628.87+56910+81858.74</f>
        <v>2126040.72</v>
      </c>
    </row>
    <row r="49" spans="1:8" ht="20.25">
      <c r="A49" s="4"/>
      <c r="B49" s="7" t="s">
        <v>1151</v>
      </c>
      <c r="C49" s="4"/>
      <c r="D49" s="436">
        <v>500</v>
      </c>
      <c r="E49" s="439"/>
      <c r="F49" s="32"/>
      <c r="H49" s="439">
        <f>47403.05+18691.05-1+26163+111263+46871.94+109470+527000-30000+51360.26+56180.1+44265.95+53768+263076.24+388595.56</f>
        <v>1714107.1500000001</v>
      </c>
    </row>
    <row r="50" spans="1:8" ht="20.25">
      <c r="A50" s="4"/>
      <c r="B50" s="7" t="s">
        <v>181</v>
      </c>
      <c r="C50" s="4"/>
      <c r="D50" s="436">
        <v>550</v>
      </c>
      <c r="E50" s="439"/>
      <c r="F50" s="32"/>
      <c r="H50" s="439">
        <f>19895.22+16451.62+3125.95+21593.08+10782.53+13911.52+12831.05+17753.91+2783+11210.03+24438.95+12128.11+10564.25+4905.42+14847.8+23819.14+8413.68</f>
        <v>229455.26</v>
      </c>
    </row>
    <row r="51" spans="1:8" ht="20.25">
      <c r="A51" s="4"/>
      <c r="B51" s="7" t="s">
        <v>608</v>
      </c>
      <c r="C51" s="4"/>
      <c r="D51" s="436"/>
      <c r="E51" s="439"/>
      <c r="F51" s="32">
        <v>647000</v>
      </c>
      <c r="H51" s="439">
        <f>1262080+5000+4000+82500+140000+45000+180000+10000</f>
        <v>1728580</v>
      </c>
    </row>
    <row r="52" spans="1:8" ht="20.25">
      <c r="A52" s="4"/>
      <c r="B52" s="7" t="s">
        <v>253</v>
      </c>
      <c r="C52" s="4"/>
      <c r="D52" s="436">
        <v>600</v>
      </c>
      <c r="E52" s="439"/>
      <c r="F52" s="32">
        <f>109712.89+668858.74+1500000</f>
        <v>2278571.63</v>
      </c>
      <c r="H52" s="439">
        <f>34000+18000</f>
        <v>52000</v>
      </c>
    </row>
    <row r="53" spans="1:8" ht="20.25">
      <c r="A53" s="4"/>
      <c r="B53" s="7" t="s">
        <v>252</v>
      </c>
      <c r="C53" s="4"/>
      <c r="D53" s="436"/>
      <c r="E53" s="439"/>
      <c r="F53" s="32">
        <f>5590987.63+1502824.77</f>
        <v>7093812.4</v>
      </c>
      <c r="H53" s="439">
        <f>2260000+1197000+460000+587000</f>
        <v>4504000</v>
      </c>
    </row>
    <row r="54" spans="1:8" ht="20.25">
      <c r="A54" s="4"/>
      <c r="B54" s="7" t="s">
        <v>1127</v>
      </c>
      <c r="C54" s="4"/>
      <c r="D54" s="436">
        <v>700</v>
      </c>
      <c r="E54" s="439"/>
      <c r="F54" s="32">
        <f>7122854.53-234900-2008000-1210000+800+2505+662+200524-3005.44+677+4508474.31</f>
        <v>8380591.4</v>
      </c>
      <c r="H54" s="439">
        <f>237250+25000</f>
        <v>262250</v>
      </c>
    </row>
    <row r="55" spans="1:8" ht="20.25">
      <c r="A55" s="4"/>
      <c r="B55" s="7" t="s">
        <v>1243</v>
      </c>
      <c r="C55" s="4"/>
      <c r="D55" s="436"/>
      <c r="E55" s="439">
        <v>65000</v>
      </c>
      <c r="F55" s="32"/>
      <c r="H55" s="115">
        <f>SUM(H47:H54)</f>
        <v>11591546.129999999</v>
      </c>
    </row>
    <row r="56" spans="1:6" ht="20.25">
      <c r="A56" s="4"/>
      <c r="B56" s="7" t="s">
        <v>1244</v>
      </c>
      <c r="C56" s="4"/>
      <c r="D56" s="436">
        <v>821</v>
      </c>
      <c r="E56" s="439"/>
      <c r="F56" s="32"/>
    </row>
    <row r="57" spans="1:6" ht="21.75">
      <c r="A57" s="4"/>
      <c r="B57" s="7" t="s">
        <v>1168</v>
      </c>
      <c r="C57" s="4"/>
      <c r="D57" s="436">
        <v>900</v>
      </c>
      <c r="E57" s="439"/>
      <c r="F57" s="441">
        <v>175813.04</v>
      </c>
    </row>
    <row r="58" spans="1:6" ht="20.25">
      <c r="A58" s="4"/>
      <c r="B58" s="7" t="s">
        <v>440</v>
      </c>
      <c r="C58" s="4"/>
      <c r="D58" s="436"/>
      <c r="E58" s="83"/>
      <c r="F58" s="83">
        <f>1237628.81-100000+24309+40000+30000+20000+1809.93+20000+80146-100000+45000+132716.04-100000+50037+77232.61</f>
        <v>1458879.3900000001</v>
      </c>
    </row>
    <row r="59" spans="1:6" ht="21" thickBot="1">
      <c r="A59" s="33"/>
      <c r="B59" s="33"/>
      <c r="C59" s="442"/>
      <c r="D59" s="443"/>
      <c r="E59" s="444">
        <f>SUM(E38:E58)</f>
        <v>20034667.86</v>
      </c>
      <c r="F59" s="445">
        <f>SUM(F39:F58)</f>
        <v>20034667.86</v>
      </c>
    </row>
    <row r="60" ht="21" thickTop="1"/>
    <row r="61" ht="20.25">
      <c r="B61" s="74">
        <f>20034667.86-18534667.86</f>
        <v>1500000</v>
      </c>
    </row>
    <row r="64" ht="20.25">
      <c r="B64" s="439">
        <f>21350526.6-20037673.3</f>
        <v>1312853.3000000007</v>
      </c>
    </row>
    <row r="65" ht="20.25">
      <c r="B65" s="439"/>
    </row>
    <row r="66" ht="20.25">
      <c r="B66" s="439"/>
    </row>
    <row r="67" ht="20.25">
      <c r="B67" s="439"/>
    </row>
    <row r="68" ht="20.25">
      <c r="B68" s="439"/>
    </row>
    <row r="69" ht="20.25">
      <c r="B69" s="439"/>
    </row>
    <row r="70" ht="20.25">
      <c r="B70" s="439"/>
    </row>
    <row r="71" ht="20.25">
      <c r="B71" s="439"/>
    </row>
    <row r="72" ht="20.25">
      <c r="B72" s="439"/>
    </row>
    <row r="73" ht="20.25">
      <c r="B73" s="439"/>
    </row>
    <row r="74" ht="20.25">
      <c r="B74" s="439"/>
    </row>
    <row r="75" ht="20.25">
      <c r="B75" s="439"/>
    </row>
    <row r="76" ht="20.25">
      <c r="B76" s="439"/>
    </row>
    <row r="77" ht="20.25">
      <c r="B77" s="439"/>
    </row>
  </sheetData>
  <sheetProtection/>
  <mergeCells count="7">
    <mergeCell ref="A36:F36"/>
    <mergeCell ref="A37:C37"/>
    <mergeCell ref="A1:F1"/>
    <mergeCell ref="A2:F2"/>
    <mergeCell ref="A3:F3"/>
    <mergeCell ref="A4:F4"/>
    <mergeCell ref="A5:C5"/>
  </mergeCells>
  <printOptions/>
  <pageMargins left="0.87" right="0.23" top="0.8" bottom="1" header="0.36" footer="0.5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D4">
      <selection activeCell="F21" sqref="F21"/>
    </sheetView>
  </sheetViews>
  <sheetFormatPr defaultColWidth="9.140625" defaultRowHeight="21.75"/>
  <cols>
    <col min="2" max="2" width="39.421875" style="0" customWidth="1"/>
    <col min="3" max="3" width="24.28125" style="0" customWidth="1"/>
    <col min="4" max="4" width="21.421875" style="0" customWidth="1"/>
    <col min="5" max="5" width="21.140625" style="0" customWidth="1"/>
    <col min="6" max="6" width="24.421875" style="0" customWidth="1"/>
  </cols>
  <sheetData>
    <row r="1" ht="21.75">
      <c r="F1" s="176" t="s">
        <v>891</v>
      </c>
    </row>
    <row r="2" spans="1:6" ht="21.75">
      <c r="A2" s="849" t="s">
        <v>885</v>
      </c>
      <c r="B2" s="849"/>
      <c r="C2" s="849"/>
      <c r="D2" s="849"/>
      <c r="E2" s="849"/>
      <c r="F2" s="849"/>
    </row>
    <row r="3" spans="1:6" ht="21.75">
      <c r="A3" s="849" t="s">
        <v>886</v>
      </c>
      <c r="B3" s="849"/>
      <c r="C3" s="849"/>
      <c r="D3" s="849"/>
      <c r="E3" s="849"/>
      <c r="F3" s="849"/>
    </row>
    <row r="4" spans="1:6" ht="21.75">
      <c r="A4" s="849" t="s">
        <v>887</v>
      </c>
      <c r="B4" s="849"/>
      <c r="C4" s="849"/>
      <c r="D4" s="849"/>
      <c r="E4" s="849"/>
      <c r="F4" s="849"/>
    </row>
    <row r="5" spans="1:6" ht="21.75">
      <c r="A5" s="848" t="s">
        <v>1060</v>
      </c>
      <c r="B5" s="848"/>
      <c r="C5" s="848"/>
      <c r="D5" s="848"/>
      <c r="E5" s="848"/>
      <c r="F5" s="848"/>
    </row>
    <row r="7" spans="1:6" ht="21.75">
      <c r="A7" s="167" t="s">
        <v>888</v>
      </c>
      <c r="B7" s="167" t="s">
        <v>854</v>
      </c>
      <c r="C7" s="167" t="s">
        <v>889</v>
      </c>
      <c r="D7" s="167" t="s">
        <v>855</v>
      </c>
      <c r="E7" s="167" t="s">
        <v>856</v>
      </c>
      <c r="F7" s="167" t="s">
        <v>825</v>
      </c>
    </row>
    <row r="8" spans="1:6" ht="21.75">
      <c r="A8" s="168"/>
      <c r="B8" s="168"/>
      <c r="C8" s="169" t="s">
        <v>890</v>
      </c>
      <c r="D8" s="169" t="s">
        <v>1154</v>
      </c>
      <c r="E8" s="169" t="s">
        <v>1154</v>
      </c>
      <c r="F8" s="169" t="s">
        <v>1154</v>
      </c>
    </row>
    <row r="9" spans="1:6" ht="21.75">
      <c r="A9" s="170"/>
      <c r="B9" s="170"/>
      <c r="C9" s="170"/>
      <c r="D9" s="170"/>
      <c r="E9" s="170"/>
      <c r="F9" s="170"/>
    </row>
    <row r="10" spans="1:6" ht="21.75">
      <c r="A10" s="180"/>
      <c r="B10" s="170"/>
      <c r="C10" s="170"/>
      <c r="D10" s="170"/>
      <c r="E10" s="170"/>
      <c r="F10" s="170"/>
    </row>
    <row r="11" spans="1:6" ht="21.75">
      <c r="A11" s="180">
        <v>1</v>
      </c>
      <c r="B11" s="170"/>
      <c r="C11" s="172"/>
      <c r="D11" s="172"/>
      <c r="E11" s="170"/>
      <c r="F11" s="172"/>
    </row>
    <row r="12" spans="1:6" ht="21.75">
      <c r="A12" s="180"/>
      <c r="B12" s="170"/>
      <c r="C12" s="172"/>
      <c r="D12" s="174"/>
      <c r="E12" s="170"/>
      <c r="F12" s="170"/>
    </row>
    <row r="13" spans="1:6" ht="21.75">
      <c r="A13" s="170"/>
      <c r="B13" s="170"/>
      <c r="C13" s="170"/>
      <c r="D13" s="174"/>
      <c r="E13" s="170"/>
      <c r="F13" s="170"/>
    </row>
    <row r="14" spans="1:6" ht="21.75">
      <c r="A14" s="170"/>
      <c r="B14" s="170"/>
      <c r="C14" s="170"/>
      <c r="D14" s="174"/>
      <c r="E14" s="170"/>
      <c r="F14" s="170"/>
    </row>
    <row r="15" spans="1:6" ht="21.75">
      <c r="A15" s="170"/>
      <c r="B15" s="170"/>
      <c r="C15" s="170"/>
      <c r="D15" s="174"/>
      <c r="E15" s="170"/>
      <c r="F15" s="170"/>
    </row>
    <row r="16" spans="1:6" ht="21.75">
      <c r="A16" s="170"/>
      <c r="B16" s="170"/>
      <c r="C16" s="170"/>
      <c r="D16" s="174"/>
      <c r="E16" s="170"/>
      <c r="F16" s="170"/>
    </row>
    <row r="17" spans="1:6" ht="21.75">
      <c r="A17" s="170"/>
      <c r="B17" s="170"/>
      <c r="C17" s="170"/>
      <c r="D17" s="174"/>
      <c r="E17" s="170"/>
      <c r="F17" s="170"/>
    </row>
    <row r="18" spans="1:6" ht="21.75">
      <c r="A18" s="170"/>
      <c r="B18" s="233"/>
      <c r="C18" s="174"/>
      <c r="D18" s="174"/>
      <c r="E18" s="170"/>
      <c r="F18" s="174"/>
    </row>
    <row r="19" spans="1:6" ht="21.75">
      <c r="A19" s="170"/>
      <c r="B19" s="170"/>
      <c r="C19" s="170"/>
      <c r="D19" s="170"/>
      <c r="E19" s="170"/>
      <c r="F19" s="170"/>
    </row>
    <row r="22" spans="2:5" ht="22.5">
      <c r="B22" s="136" t="s">
        <v>153</v>
      </c>
      <c r="C22" s="138"/>
      <c r="D22" s="143"/>
      <c r="E22" s="277"/>
    </row>
    <row r="23" spans="2:5" ht="22.5">
      <c r="B23" s="136" t="s">
        <v>480</v>
      </c>
      <c r="C23" s="138"/>
      <c r="D23" s="244"/>
      <c r="E23" s="3"/>
    </row>
  </sheetData>
  <sheetProtection/>
  <mergeCells count="4">
    <mergeCell ref="A2:F2"/>
    <mergeCell ref="A3:F3"/>
    <mergeCell ref="A4:F4"/>
    <mergeCell ref="A5:F5"/>
  </mergeCells>
  <printOptions/>
  <pageMargins left="0.75" right="0.9" top="0.61" bottom="1" header="0.52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2"/>
  <sheetViews>
    <sheetView view="pageBreakPreview" zoomScaleSheetLayoutView="100" zoomScalePageLayoutView="0" workbookViewId="0" topLeftCell="A1">
      <selection activeCell="K400" sqref="K400"/>
    </sheetView>
  </sheetViews>
  <sheetFormatPr defaultColWidth="9.140625" defaultRowHeight="21.75"/>
  <cols>
    <col min="1" max="1" width="3.421875" style="0" customWidth="1"/>
    <col min="2" max="2" width="18.57421875" style="0" customWidth="1"/>
    <col min="3" max="3" width="14.140625" style="0" customWidth="1"/>
    <col min="4" max="4" width="24.00390625" style="0" customWidth="1"/>
    <col min="5" max="5" width="9.8515625" style="0" customWidth="1"/>
    <col min="6" max="6" width="10.00390625" style="0" customWidth="1"/>
    <col min="7" max="7" width="14.140625" style="0" customWidth="1"/>
    <col min="8" max="8" width="9.57421875" style="0" customWidth="1"/>
    <col min="9" max="9" width="10.00390625" style="0" customWidth="1"/>
    <col min="10" max="10" width="10.57421875" style="0" customWidth="1"/>
    <col min="11" max="11" width="10.28125" style="0" customWidth="1"/>
    <col min="12" max="12" width="10.8515625" style="0" customWidth="1"/>
    <col min="13" max="13" width="9.421875" style="0" customWidth="1"/>
  </cols>
  <sheetData>
    <row r="1" spans="1:13" ht="26.25">
      <c r="A1" s="865" t="s">
        <v>92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</row>
    <row r="2" spans="1:13" ht="26.25">
      <c r="A2" s="865" t="s">
        <v>1169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</row>
    <row r="3" spans="1:13" ht="26.25">
      <c r="A3" s="866" t="s">
        <v>20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4" spans="1:13" ht="21.75" customHeight="1">
      <c r="A4" s="855" t="s">
        <v>1129</v>
      </c>
      <c r="B4" s="856"/>
      <c r="C4" s="852" t="s">
        <v>85</v>
      </c>
      <c r="D4" s="852" t="s">
        <v>81</v>
      </c>
      <c r="E4" s="852" t="s">
        <v>82</v>
      </c>
      <c r="F4" s="852" t="s">
        <v>83</v>
      </c>
      <c r="G4" s="852" t="s">
        <v>84</v>
      </c>
      <c r="H4" s="852" t="s">
        <v>86</v>
      </c>
      <c r="I4" s="852" t="s">
        <v>1174</v>
      </c>
      <c r="J4" s="852" t="s">
        <v>1175</v>
      </c>
      <c r="K4" s="852" t="s">
        <v>242</v>
      </c>
      <c r="L4" s="852" t="s">
        <v>87</v>
      </c>
      <c r="M4" s="852" t="s">
        <v>1176</v>
      </c>
    </row>
    <row r="5" spans="1:13" ht="21.75">
      <c r="A5" s="857"/>
      <c r="B5" s="858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</row>
    <row r="6" spans="1:13" ht="21.75">
      <c r="A6" s="859"/>
      <c r="B6" s="860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</row>
    <row r="7" spans="1:13" ht="18.75" customHeight="1">
      <c r="A7" s="655"/>
      <c r="B7" s="768" t="s">
        <v>120</v>
      </c>
      <c r="C7" s="551"/>
      <c r="D7" s="552"/>
      <c r="E7" s="551"/>
      <c r="F7" s="551"/>
      <c r="G7" s="553"/>
      <c r="H7" s="551"/>
      <c r="I7" s="551"/>
      <c r="J7" s="551"/>
      <c r="K7" s="551"/>
      <c r="L7" s="551"/>
      <c r="M7" s="550"/>
    </row>
    <row r="8" spans="1:13" ht="24" customHeight="1">
      <c r="A8" s="588">
        <v>1</v>
      </c>
      <c r="B8" s="545" t="s">
        <v>1261</v>
      </c>
      <c r="C8" s="548" t="s">
        <v>1177</v>
      </c>
      <c r="D8" s="554" t="s">
        <v>1260</v>
      </c>
      <c r="E8" s="555" t="s">
        <v>675</v>
      </c>
      <c r="F8" s="556">
        <v>2900</v>
      </c>
      <c r="G8" s="556"/>
      <c r="H8" s="548" t="s">
        <v>1178</v>
      </c>
      <c r="I8" s="548" t="s">
        <v>798</v>
      </c>
      <c r="J8" s="548" t="s">
        <v>1179</v>
      </c>
      <c r="K8" s="557">
        <v>5800</v>
      </c>
      <c r="L8" s="546" t="s">
        <v>1029</v>
      </c>
      <c r="M8" s="546"/>
    </row>
    <row r="9" spans="1:13" ht="26.25" customHeight="1">
      <c r="A9" s="588"/>
      <c r="B9" s="545"/>
      <c r="C9" s="548" t="s">
        <v>741</v>
      </c>
      <c r="D9" s="554" t="s">
        <v>804</v>
      </c>
      <c r="E9" s="555" t="s">
        <v>675</v>
      </c>
      <c r="F9" s="556">
        <v>845</v>
      </c>
      <c r="G9" s="556"/>
      <c r="H9" s="548" t="s">
        <v>1178</v>
      </c>
      <c r="I9" s="548" t="s">
        <v>799</v>
      </c>
      <c r="J9" s="548" t="s">
        <v>1179</v>
      </c>
      <c r="K9" s="559">
        <v>4225</v>
      </c>
      <c r="L9" s="546" t="s">
        <v>1028</v>
      </c>
      <c r="M9" s="546"/>
    </row>
    <row r="10" spans="1:13" ht="24" customHeight="1">
      <c r="A10" s="588"/>
      <c r="B10" s="545"/>
      <c r="C10" s="548" t="s">
        <v>1182</v>
      </c>
      <c r="D10" s="554" t="s">
        <v>1183</v>
      </c>
      <c r="E10" s="555" t="s">
        <v>675</v>
      </c>
      <c r="F10" s="556">
        <v>1600</v>
      </c>
      <c r="G10" s="556"/>
      <c r="H10" s="548" t="s">
        <v>1178</v>
      </c>
      <c r="I10" s="548" t="s">
        <v>800</v>
      </c>
      <c r="J10" s="548" t="s">
        <v>1179</v>
      </c>
      <c r="K10" s="557">
        <v>1600</v>
      </c>
      <c r="L10" s="546" t="s">
        <v>1029</v>
      </c>
      <c r="M10" s="546"/>
    </row>
    <row r="11" spans="1:13" ht="24.75" customHeight="1">
      <c r="A11" s="588"/>
      <c r="B11" s="545"/>
      <c r="C11" s="548" t="s">
        <v>1255</v>
      </c>
      <c r="D11" s="554" t="s">
        <v>1180</v>
      </c>
      <c r="E11" s="555" t="s">
        <v>678</v>
      </c>
      <c r="F11" s="556">
        <v>845</v>
      </c>
      <c r="G11" s="556"/>
      <c r="H11" s="548" t="s">
        <v>1256</v>
      </c>
      <c r="I11" s="548" t="s">
        <v>1126</v>
      </c>
      <c r="J11" s="548" t="s">
        <v>1179</v>
      </c>
      <c r="K11" s="560">
        <v>845</v>
      </c>
      <c r="L11" s="546" t="s">
        <v>1028</v>
      </c>
      <c r="M11" s="546"/>
    </row>
    <row r="12" spans="1:13" ht="24" customHeight="1">
      <c r="A12" s="588"/>
      <c r="B12" s="545"/>
      <c r="C12" s="548" t="s">
        <v>106</v>
      </c>
      <c r="D12" s="554" t="s">
        <v>1296</v>
      </c>
      <c r="E12" s="555" t="s">
        <v>679</v>
      </c>
      <c r="F12" s="556">
        <v>1500</v>
      </c>
      <c r="G12" s="556">
        <v>3000</v>
      </c>
      <c r="H12" s="548" t="s">
        <v>1178</v>
      </c>
      <c r="I12" s="548" t="s">
        <v>801</v>
      </c>
      <c r="J12" s="547" t="s">
        <v>1179</v>
      </c>
      <c r="K12" s="558"/>
      <c r="L12" s="546"/>
      <c r="M12" s="546"/>
    </row>
    <row r="13" spans="1:13" ht="27" customHeight="1">
      <c r="A13" s="588"/>
      <c r="B13" s="545"/>
      <c r="C13" s="548" t="s">
        <v>1300</v>
      </c>
      <c r="D13" s="554" t="s">
        <v>775</v>
      </c>
      <c r="E13" s="555" t="s">
        <v>680</v>
      </c>
      <c r="F13" s="556">
        <v>1500</v>
      </c>
      <c r="G13" s="556"/>
      <c r="H13" s="548" t="s">
        <v>1178</v>
      </c>
      <c r="I13" s="548" t="s">
        <v>776</v>
      </c>
      <c r="J13" s="547" t="s">
        <v>1179</v>
      </c>
      <c r="K13" s="557">
        <v>3000</v>
      </c>
      <c r="L13" s="546" t="s">
        <v>1028</v>
      </c>
      <c r="M13" s="546"/>
    </row>
    <row r="14" spans="1:13" ht="25.5" customHeight="1">
      <c r="A14" s="588"/>
      <c r="B14" s="545"/>
      <c r="C14" s="548" t="s">
        <v>107</v>
      </c>
      <c r="D14" s="554" t="s">
        <v>777</v>
      </c>
      <c r="E14" s="555" t="s">
        <v>686</v>
      </c>
      <c r="F14" s="556">
        <v>2700</v>
      </c>
      <c r="G14" s="556">
        <f>F14*2</f>
        <v>5400</v>
      </c>
      <c r="H14" s="548" t="s">
        <v>1178</v>
      </c>
      <c r="I14" s="548" t="s">
        <v>802</v>
      </c>
      <c r="J14" s="548" t="s">
        <v>1313</v>
      </c>
      <c r="K14" s="558"/>
      <c r="L14" s="546"/>
      <c r="M14" s="546"/>
    </row>
    <row r="15" spans="1:13" ht="21.75">
      <c r="A15" s="588"/>
      <c r="B15" s="545"/>
      <c r="C15" s="548" t="s">
        <v>1320</v>
      </c>
      <c r="D15" s="554" t="s">
        <v>791</v>
      </c>
      <c r="E15" s="555" t="s">
        <v>621</v>
      </c>
      <c r="F15" s="556"/>
      <c r="G15" s="556"/>
      <c r="H15" s="548" t="s">
        <v>1306</v>
      </c>
      <c r="I15" s="548" t="s">
        <v>778</v>
      </c>
      <c r="J15" s="548"/>
      <c r="K15" s="558"/>
      <c r="L15" s="546"/>
      <c r="M15" s="546"/>
    </row>
    <row r="16" spans="1:13" ht="27" customHeight="1">
      <c r="A16" s="588"/>
      <c r="B16" s="545"/>
      <c r="C16" s="548" t="s">
        <v>6</v>
      </c>
      <c r="D16" s="554" t="s">
        <v>7</v>
      </c>
      <c r="E16" s="555" t="s">
        <v>691</v>
      </c>
      <c r="F16" s="556">
        <v>2900</v>
      </c>
      <c r="G16" s="556">
        <f>F16*2</f>
        <v>5800</v>
      </c>
      <c r="H16" s="548" t="s">
        <v>1178</v>
      </c>
      <c r="I16" s="548" t="s">
        <v>803</v>
      </c>
      <c r="J16" s="548" t="s">
        <v>620</v>
      </c>
      <c r="K16" s="558"/>
      <c r="L16" s="546"/>
      <c r="M16" s="546"/>
    </row>
    <row r="17" spans="1:13" ht="18.75" customHeight="1">
      <c r="A17" s="588"/>
      <c r="B17" s="545"/>
      <c r="C17" s="548"/>
      <c r="D17" s="554"/>
      <c r="E17" s="555"/>
      <c r="F17" s="556"/>
      <c r="G17" s="556"/>
      <c r="H17" s="548"/>
      <c r="I17" s="548" t="s">
        <v>503</v>
      </c>
      <c r="J17" s="548" t="s">
        <v>9</v>
      </c>
      <c r="K17" s="558"/>
      <c r="L17" s="546"/>
      <c r="M17" s="546"/>
    </row>
    <row r="18" spans="1:13" ht="21.75">
      <c r="A18" s="588"/>
      <c r="B18" s="545"/>
      <c r="C18" s="548" t="s">
        <v>101</v>
      </c>
      <c r="D18" s="554" t="s">
        <v>102</v>
      </c>
      <c r="E18" s="555" t="s">
        <v>696</v>
      </c>
      <c r="F18" s="556">
        <v>16000</v>
      </c>
      <c r="G18" s="556">
        <f>F18*2</f>
        <v>32000</v>
      </c>
      <c r="H18" s="548" t="s">
        <v>1178</v>
      </c>
      <c r="I18" s="548" t="s">
        <v>805</v>
      </c>
      <c r="J18" s="548" t="s">
        <v>8</v>
      </c>
      <c r="K18" s="558"/>
      <c r="L18" s="546"/>
      <c r="M18" s="546"/>
    </row>
    <row r="19" spans="1:13" ht="25.5" customHeight="1">
      <c r="A19" s="588"/>
      <c r="B19" s="545"/>
      <c r="C19" s="548" t="s">
        <v>175</v>
      </c>
      <c r="D19" s="554" t="s">
        <v>141</v>
      </c>
      <c r="E19" s="555" t="s">
        <v>702</v>
      </c>
      <c r="F19" s="556">
        <v>4100</v>
      </c>
      <c r="G19" s="556">
        <f>F19*1</f>
        <v>4100</v>
      </c>
      <c r="H19" s="548" t="s">
        <v>1178</v>
      </c>
      <c r="I19" s="548" t="s">
        <v>806</v>
      </c>
      <c r="J19" s="548" t="s">
        <v>1314</v>
      </c>
      <c r="K19" s="558"/>
      <c r="L19" s="558"/>
      <c r="M19" s="546"/>
    </row>
    <row r="20" spans="1:13" ht="21.75" customHeight="1">
      <c r="A20" s="588"/>
      <c r="B20" s="545"/>
      <c r="C20" s="548" t="s">
        <v>784</v>
      </c>
      <c r="D20" s="554" t="s">
        <v>777</v>
      </c>
      <c r="E20" s="555" t="s">
        <v>256</v>
      </c>
      <c r="F20" s="562">
        <v>2600</v>
      </c>
      <c r="G20" s="562">
        <v>28600</v>
      </c>
      <c r="H20" s="548" t="s">
        <v>1178</v>
      </c>
      <c r="I20" s="548" t="s">
        <v>779</v>
      </c>
      <c r="J20" s="548" t="s">
        <v>8</v>
      </c>
      <c r="K20" s="558"/>
      <c r="L20" s="558"/>
      <c r="M20" s="546"/>
    </row>
    <row r="21" spans="1:13" ht="22.5" customHeight="1">
      <c r="A21" s="588"/>
      <c r="B21" s="545"/>
      <c r="C21" s="548" t="s">
        <v>785</v>
      </c>
      <c r="D21" s="554" t="s">
        <v>807</v>
      </c>
      <c r="E21" s="563" t="s">
        <v>261</v>
      </c>
      <c r="F21" s="562">
        <v>1800</v>
      </c>
      <c r="G21" s="562">
        <v>10800</v>
      </c>
      <c r="H21" s="548" t="s">
        <v>1178</v>
      </c>
      <c r="I21" s="548" t="s">
        <v>780</v>
      </c>
      <c r="J21" s="548" t="s">
        <v>8</v>
      </c>
      <c r="K21" s="558"/>
      <c r="L21" s="558"/>
      <c r="M21" s="546"/>
    </row>
    <row r="22" spans="1:13" ht="24" customHeight="1">
      <c r="A22" s="588"/>
      <c r="B22" s="545"/>
      <c r="C22" s="548" t="s">
        <v>783</v>
      </c>
      <c r="D22" s="554" t="s">
        <v>781</v>
      </c>
      <c r="E22" s="555" t="s">
        <v>717</v>
      </c>
      <c r="F22" s="562">
        <v>1800</v>
      </c>
      <c r="G22" s="562">
        <v>3600</v>
      </c>
      <c r="H22" s="548" t="s">
        <v>1178</v>
      </c>
      <c r="I22" s="548" t="s">
        <v>782</v>
      </c>
      <c r="J22" s="548" t="s">
        <v>8</v>
      </c>
      <c r="K22" s="558"/>
      <c r="L22" s="558"/>
      <c r="M22" s="546"/>
    </row>
    <row r="23" spans="1:13" ht="27.75" customHeight="1">
      <c r="A23" s="634"/>
      <c r="B23" s="630"/>
      <c r="C23" s="564" t="s">
        <v>786</v>
      </c>
      <c r="D23" s="565" t="s">
        <v>486</v>
      </c>
      <c r="E23" s="566" t="s">
        <v>787</v>
      </c>
      <c r="F23" s="567">
        <v>1000800</v>
      </c>
      <c r="G23" s="567">
        <v>32000</v>
      </c>
      <c r="H23" s="568" t="s">
        <v>1178</v>
      </c>
      <c r="I23" s="568" t="s">
        <v>788</v>
      </c>
      <c r="J23" s="568" t="s">
        <v>8</v>
      </c>
      <c r="K23" s="569"/>
      <c r="L23" s="569"/>
      <c r="M23" s="569"/>
    </row>
    <row r="24" spans="1:13" ht="21.75" customHeight="1">
      <c r="A24" s="855" t="s">
        <v>1129</v>
      </c>
      <c r="B24" s="856"/>
      <c r="C24" s="852" t="s">
        <v>85</v>
      </c>
      <c r="D24" s="852" t="s">
        <v>81</v>
      </c>
      <c r="E24" s="852" t="s">
        <v>82</v>
      </c>
      <c r="F24" s="852" t="s">
        <v>83</v>
      </c>
      <c r="G24" s="852" t="s">
        <v>84</v>
      </c>
      <c r="H24" s="852" t="s">
        <v>86</v>
      </c>
      <c r="I24" s="852" t="s">
        <v>1174</v>
      </c>
      <c r="J24" s="852" t="s">
        <v>1175</v>
      </c>
      <c r="K24" s="852" t="s">
        <v>242</v>
      </c>
      <c r="L24" s="852" t="s">
        <v>87</v>
      </c>
      <c r="M24" s="852" t="s">
        <v>1176</v>
      </c>
    </row>
    <row r="25" spans="1:13" ht="21.75">
      <c r="A25" s="857"/>
      <c r="B25" s="858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</row>
    <row r="26" spans="1:13" ht="21.75">
      <c r="A26" s="859"/>
      <c r="B26" s="860"/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</row>
    <row r="27" spans="1:13" ht="23.25" customHeight="1">
      <c r="A27" s="655"/>
      <c r="B27" s="545"/>
      <c r="C27" s="548" t="s">
        <v>796</v>
      </c>
      <c r="D27" s="554" t="s">
        <v>777</v>
      </c>
      <c r="E27" s="555" t="s">
        <v>789</v>
      </c>
      <c r="F27" s="562">
        <v>3700</v>
      </c>
      <c r="G27" s="562">
        <v>22200</v>
      </c>
      <c r="H27" s="548" t="s">
        <v>1178</v>
      </c>
      <c r="I27" s="548" t="s">
        <v>790</v>
      </c>
      <c r="J27" s="548" t="s">
        <v>8</v>
      </c>
      <c r="K27" s="558"/>
      <c r="L27" s="558"/>
      <c r="M27" s="558"/>
    </row>
    <row r="28" spans="1:13" ht="21" customHeight="1">
      <c r="A28" s="588"/>
      <c r="B28" s="545"/>
      <c r="C28" s="548" t="s">
        <v>649</v>
      </c>
      <c r="D28" s="554" t="s">
        <v>791</v>
      </c>
      <c r="E28" s="555" t="s">
        <v>339</v>
      </c>
      <c r="F28" s="562">
        <v>3200</v>
      </c>
      <c r="G28" s="562">
        <v>3200</v>
      </c>
      <c r="H28" s="548" t="s">
        <v>1178</v>
      </c>
      <c r="I28" s="570">
        <v>960</v>
      </c>
      <c r="J28" s="548" t="s">
        <v>8</v>
      </c>
      <c r="K28" s="558"/>
      <c r="L28" s="558"/>
      <c r="M28" s="558"/>
    </row>
    <row r="29" spans="1:13" ht="40.5" customHeight="1">
      <c r="A29" s="588"/>
      <c r="B29" s="545"/>
      <c r="C29" s="548" t="s">
        <v>795</v>
      </c>
      <c r="D29" s="571" t="s">
        <v>792</v>
      </c>
      <c r="E29" s="555" t="s">
        <v>793</v>
      </c>
      <c r="F29" s="562">
        <v>5000</v>
      </c>
      <c r="G29" s="562">
        <v>40000</v>
      </c>
      <c r="H29" s="548" t="s">
        <v>1178</v>
      </c>
      <c r="I29" s="570" t="s">
        <v>794</v>
      </c>
      <c r="J29" s="572" t="s">
        <v>797</v>
      </c>
      <c r="K29" s="558"/>
      <c r="L29" s="558"/>
      <c r="M29" s="558"/>
    </row>
    <row r="30" spans="1:13" ht="27" customHeight="1">
      <c r="A30" s="595">
        <v>2</v>
      </c>
      <c r="B30" s="545" t="s">
        <v>1262</v>
      </c>
      <c r="C30" s="548" t="s">
        <v>1181</v>
      </c>
      <c r="D30" s="554" t="s">
        <v>808</v>
      </c>
      <c r="E30" s="555" t="s">
        <v>809</v>
      </c>
      <c r="F30" s="556">
        <v>900</v>
      </c>
      <c r="G30" s="556"/>
      <c r="H30" s="574"/>
      <c r="I30" s="575" t="s">
        <v>817</v>
      </c>
      <c r="J30" s="548" t="s">
        <v>1179</v>
      </c>
      <c r="K30" s="557">
        <v>19800</v>
      </c>
      <c r="L30" s="558" t="s">
        <v>1030</v>
      </c>
      <c r="M30" s="558" t="s">
        <v>1029</v>
      </c>
    </row>
    <row r="31" spans="1:13" ht="24" customHeight="1">
      <c r="A31" s="595"/>
      <c r="B31" s="545"/>
      <c r="C31" s="548" t="s">
        <v>1318</v>
      </c>
      <c r="D31" s="576" t="s">
        <v>810</v>
      </c>
      <c r="E31" s="555" t="s">
        <v>678</v>
      </c>
      <c r="F31" s="556"/>
      <c r="G31" s="556"/>
      <c r="H31" s="548" t="s">
        <v>1306</v>
      </c>
      <c r="I31" s="548" t="s">
        <v>1126</v>
      </c>
      <c r="J31" s="548" t="s">
        <v>1179</v>
      </c>
      <c r="K31" s="558"/>
      <c r="L31" s="558"/>
      <c r="M31" s="558"/>
    </row>
    <row r="32" spans="1:13" ht="21.75">
      <c r="A32" s="588"/>
      <c r="B32" s="546"/>
      <c r="C32" s="548" t="s">
        <v>813</v>
      </c>
      <c r="D32" s="554" t="s">
        <v>811</v>
      </c>
      <c r="E32" s="555" t="s">
        <v>678</v>
      </c>
      <c r="F32" s="577"/>
      <c r="G32" s="577"/>
      <c r="H32" s="570"/>
      <c r="I32" s="570"/>
      <c r="J32" s="558"/>
      <c r="K32" s="558"/>
      <c r="L32" s="558"/>
      <c r="M32" s="558"/>
    </row>
    <row r="33" spans="1:13" ht="21.75">
      <c r="A33" s="588"/>
      <c r="B33" s="546"/>
      <c r="C33" s="548" t="s">
        <v>812</v>
      </c>
      <c r="D33" s="554" t="s">
        <v>814</v>
      </c>
      <c r="E33" s="563"/>
      <c r="F33" s="578"/>
      <c r="G33" s="578"/>
      <c r="H33" s="570"/>
      <c r="I33" s="570"/>
      <c r="J33" s="570"/>
      <c r="K33" s="558"/>
      <c r="L33" s="558"/>
      <c r="M33" s="558"/>
    </row>
    <row r="34" spans="1:13" ht="20.25" customHeight="1">
      <c r="A34" s="595">
        <v>3</v>
      </c>
      <c r="B34" s="545" t="s">
        <v>1263</v>
      </c>
      <c r="C34" s="548" t="s">
        <v>1184</v>
      </c>
      <c r="D34" s="554" t="s">
        <v>1302</v>
      </c>
      <c r="E34" s="555" t="s">
        <v>815</v>
      </c>
      <c r="F34" s="579">
        <v>3300</v>
      </c>
      <c r="G34" s="721">
        <v>3300</v>
      </c>
      <c r="H34" s="574" t="s">
        <v>1256</v>
      </c>
      <c r="I34" s="575" t="s">
        <v>816</v>
      </c>
      <c r="J34" s="548" t="s">
        <v>1179</v>
      </c>
      <c r="K34" s="558"/>
      <c r="L34" s="558"/>
      <c r="M34" s="558"/>
    </row>
    <row r="35" spans="1:13" ht="25.5" customHeight="1">
      <c r="A35" s="588"/>
      <c r="B35" s="545"/>
      <c r="C35" s="548" t="s">
        <v>1188</v>
      </c>
      <c r="D35" s="545" t="s">
        <v>818</v>
      </c>
      <c r="E35" s="547" t="s">
        <v>819</v>
      </c>
      <c r="F35" s="580">
        <v>2300</v>
      </c>
      <c r="G35" s="722">
        <v>2300</v>
      </c>
      <c r="H35" s="548" t="s">
        <v>1178</v>
      </c>
      <c r="I35" s="547" t="s">
        <v>776</v>
      </c>
      <c r="J35" s="548" t="s">
        <v>1179</v>
      </c>
      <c r="K35" s="558"/>
      <c r="L35" s="558"/>
      <c r="M35" s="558"/>
    </row>
    <row r="36" spans="1:13" ht="24.75" customHeight="1">
      <c r="A36" s="588"/>
      <c r="B36" s="545"/>
      <c r="C36" s="548" t="s">
        <v>497</v>
      </c>
      <c r="D36" s="554" t="s">
        <v>1302</v>
      </c>
      <c r="E36" s="547" t="s">
        <v>680</v>
      </c>
      <c r="F36" s="579">
        <v>2300</v>
      </c>
      <c r="G36" s="721">
        <v>4600</v>
      </c>
      <c r="H36" s="574" t="s">
        <v>1256</v>
      </c>
      <c r="I36" s="575" t="s">
        <v>498</v>
      </c>
      <c r="J36" s="548" t="s">
        <v>1179</v>
      </c>
      <c r="K36" s="558"/>
      <c r="L36" s="558"/>
      <c r="M36" s="558"/>
    </row>
    <row r="37" spans="1:13" ht="25.5" customHeight="1">
      <c r="A37" s="588"/>
      <c r="B37" s="545"/>
      <c r="C37" s="548" t="s">
        <v>1301</v>
      </c>
      <c r="D37" s="545" t="s">
        <v>818</v>
      </c>
      <c r="E37" s="547" t="s">
        <v>680</v>
      </c>
      <c r="F37" s="580">
        <v>2300</v>
      </c>
      <c r="G37" s="722">
        <v>2300</v>
      </c>
      <c r="H37" s="548" t="s">
        <v>1178</v>
      </c>
      <c r="I37" s="547" t="s">
        <v>499</v>
      </c>
      <c r="J37" s="548" t="s">
        <v>1179</v>
      </c>
      <c r="K37" s="558"/>
      <c r="L37" s="558"/>
      <c r="M37" s="558"/>
    </row>
    <row r="38" spans="1:13" ht="24.75" customHeight="1">
      <c r="A38" s="588"/>
      <c r="B38" s="545"/>
      <c r="C38" s="548" t="s">
        <v>1307</v>
      </c>
      <c r="D38" s="554" t="s">
        <v>1302</v>
      </c>
      <c r="E38" s="547" t="s">
        <v>683</v>
      </c>
      <c r="F38" s="580">
        <v>3600</v>
      </c>
      <c r="G38" s="722">
        <v>3600</v>
      </c>
      <c r="H38" s="548" t="s">
        <v>1178</v>
      </c>
      <c r="I38" s="570" t="s">
        <v>501</v>
      </c>
      <c r="J38" s="548" t="s">
        <v>1179</v>
      </c>
      <c r="K38" s="558"/>
      <c r="L38" s="558"/>
      <c r="M38" s="558"/>
    </row>
    <row r="39" spans="1:13" ht="21.75">
      <c r="A39" s="588"/>
      <c r="B39" s="545"/>
      <c r="C39" s="548" t="s">
        <v>1315</v>
      </c>
      <c r="D39" s="554" t="s">
        <v>1302</v>
      </c>
      <c r="E39" s="547" t="s">
        <v>686</v>
      </c>
      <c r="F39" s="580">
        <v>3300</v>
      </c>
      <c r="G39" s="722">
        <v>3300</v>
      </c>
      <c r="H39" s="548" t="s">
        <v>1178</v>
      </c>
      <c r="I39" s="548" t="s">
        <v>500</v>
      </c>
      <c r="J39" s="574" t="s">
        <v>1179</v>
      </c>
      <c r="K39" s="581"/>
      <c r="L39" s="546"/>
      <c r="M39" s="558"/>
    </row>
    <row r="40" spans="1:13" ht="21.75">
      <c r="A40" s="588"/>
      <c r="B40" s="545"/>
      <c r="C40" s="548" t="s">
        <v>108</v>
      </c>
      <c r="D40" s="554" t="s">
        <v>1302</v>
      </c>
      <c r="E40" s="547" t="s">
        <v>691</v>
      </c>
      <c r="F40" s="580">
        <v>3200</v>
      </c>
      <c r="G40" s="722">
        <v>3200</v>
      </c>
      <c r="H40" s="548" t="s">
        <v>1178</v>
      </c>
      <c r="I40" s="548" t="s">
        <v>502</v>
      </c>
      <c r="J40" s="547" t="s">
        <v>1179</v>
      </c>
      <c r="K40" s="558"/>
      <c r="L40" s="558"/>
      <c r="M40" s="558"/>
    </row>
    <row r="41" spans="1:13" ht="21.75">
      <c r="A41" s="588"/>
      <c r="B41" s="545"/>
      <c r="C41" s="548" t="s">
        <v>109</v>
      </c>
      <c r="D41" s="554" t="s">
        <v>1302</v>
      </c>
      <c r="E41" s="547" t="s">
        <v>692</v>
      </c>
      <c r="F41" s="580">
        <v>2600</v>
      </c>
      <c r="G41" s="722">
        <v>2600</v>
      </c>
      <c r="H41" s="548" t="s">
        <v>1178</v>
      </c>
      <c r="I41" s="548" t="s">
        <v>504</v>
      </c>
      <c r="J41" s="547" t="s">
        <v>1314</v>
      </c>
      <c r="K41" s="558"/>
      <c r="L41" s="558"/>
      <c r="M41" s="558"/>
    </row>
    <row r="42" spans="1:13" ht="21.75" customHeight="1">
      <c r="A42" s="588"/>
      <c r="B42" s="545"/>
      <c r="C42" s="548" t="s">
        <v>10</v>
      </c>
      <c r="D42" s="545" t="s">
        <v>818</v>
      </c>
      <c r="E42" s="547" t="s">
        <v>692</v>
      </c>
      <c r="F42" s="580">
        <v>2200</v>
      </c>
      <c r="G42" s="721">
        <v>8800</v>
      </c>
      <c r="H42" s="548" t="s">
        <v>1178</v>
      </c>
      <c r="I42" s="548" t="s">
        <v>505</v>
      </c>
      <c r="J42" s="547" t="s">
        <v>506</v>
      </c>
      <c r="K42" s="558"/>
      <c r="L42" s="558"/>
      <c r="M42" s="558"/>
    </row>
    <row r="43" spans="1:13" ht="23.25" customHeight="1">
      <c r="A43" s="588"/>
      <c r="B43" s="545"/>
      <c r="C43" s="548" t="s">
        <v>110</v>
      </c>
      <c r="D43" s="554" t="s">
        <v>1302</v>
      </c>
      <c r="E43" s="547" t="s">
        <v>698</v>
      </c>
      <c r="F43" s="580">
        <v>3200</v>
      </c>
      <c r="G43" s="722">
        <v>9600</v>
      </c>
      <c r="H43" s="548" t="s">
        <v>1178</v>
      </c>
      <c r="I43" s="548" t="s">
        <v>507</v>
      </c>
      <c r="J43" s="548" t="s">
        <v>508</v>
      </c>
      <c r="K43" s="558"/>
      <c r="L43" s="558"/>
      <c r="M43" s="558"/>
    </row>
    <row r="44" spans="1:13" ht="22.5" customHeight="1">
      <c r="A44" s="588"/>
      <c r="B44" s="545"/>
      <c r="C44" s="548" t="s">
        <v>925</v>
      </c>
      <c r="D44" s="554" t="s">
        <v>1302</v>
      </c>
      <c r="E44" s="547" t="s">
        <v>509</v>
      </c>
      <c r="F44" s="580">
        <v>4800</v>
      </c>
      <c r="G44" s="721">
        <v>9600</v>
      </c>
      <c r="H44" s="548" t="s">
        <v>1178</v>
      </c>
      <c r="I44" s="548" t="s">
        <v>510</v>
      </c>
      <c r="J44" s="548" t="s">
        <v>511</v>
      </c>
      <c r="K44" s="558"/>
      <c r="L44" s="558"/>
      <c r="M44" s="558"/>
    </row>
    <row r="45" spans="1:13" ht="21.75" customHeight="1">
      <c r="A45" s="588"/>
      <c r="B45" s="545"/>
      <c r="C45" s="548" t="s">
        <v>336</v>
      </c>
      <c r="D45" s="554" t="s">
        <v>337</v>
      </c>
      <c r="E45" s="548" t="s">
        <v>338</v>
      </c>
      <c r="F45" s="583">
        <v>5000</v>
      </c>
      <c r="G45" s="721">
        <v>10000</v>
      </c>
      <c r="H45" s="548" t="s">
        <v>1178</v>
      </c>
      <c r="I45" s="548">
        <v>978</v>
      </c>
      <c r="J45" s="572" t="s">
        <v>797</v>
      </c>
      <c r="K45" s="558"/>
      <c r="L45" s="558"/>
      <c r="M45" s="558"/>
    </row>
    <row r="46" spans="1:13" ht="21.75" customHeight="1">
      <c r="A46" s="634"/>
      <c r="B46" s="630"/>
      <c r="C46" s="564" t="s">
        <v>21</v>
      </c>
      <c r="D46" s="693" t="s">
        <v>1302</v>
      </c>
      <c r="E46" s="568" t="s">
        <v>22</v>
      </c>
      <c r="F46" s="694">
        <v>5200</v>
      </c>
      <c r="G46" s="723">
        <v>15600</v>
      </c>
      <c r="H46" s="564" t="s">
        <v>1178</v>
      </c>
      <c r="I46" s="564" t="s">
        <v>29</v>
      </c>
      <c r="J46" s="672" t="s">
        <v>23</v>
      </c>
      <c r="K46" s="619"/>
      <c r="L46" s="619"/>
      <c r="M46" s="619"/>
    </row>
    <row r="47" spans="1:13" ht="26.25" customHeight="1">
      <c r="A47" s="855" t="s">
        <v>1129</v>
      </c>
      <c r="B47" s="856"/>
      <c r="C47" s="852" t="s">
        <v>85</v>
      </c>
      <c r="D47" s="852" t="s">
        <v>81</v>
      </c>
      <c r="E47" s="852" t="s">
        <v>82</v>
      </c>
      <c r="F47" s="852" t="s">
        <v>83</v>
      </c>
      <c r="G47" s="852" t="s">
        <v>84</v>
      </c>
      <c r="H47" s="852" t="s">
        <v>86</v>
      </c>
      <c r="I47" s="852" t="s">
        <v>1174</v>
      </c>
      <c r="J47" s="852" t="s">
        <v>1175</v>
      </c>
      <c r="K47" s="852" t="s">
        <v>242</v>
      </c>
      <c r="L47" s="852" t="s">
        <v>87</v>
      </c>
      <c r="M47" s="861" t="s">
        <v>1176</v>
      </c>
    </row>
    <row r="48" spans="1:13" ht="26.25" customHeight="1">
      <c r="A48" s="857"/>
      <c r="B48" s="858"/>
      <c r="C48" s="853"/>
      <c r="D48" s="853"/>
      <c r="E48" s="853"/>
      <c r="F48" s="853"/>
      <c r="G48" s="853"/>
      <c r="H48" s="853"/>
      <c r="I48" s="853"/>
      <c r="J48" s="853"/>
      <c r="K48" s="853"/>
      <c r="L48" s="853"/>
      <c r="M48" s="862"/>
    </row>
    <row r="49" spans="1:13" ht="26.25" customHeight="1">
      <c r="A49" s="859"/>
      <c r="B49" s="860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63"/>
    </row>
    <row r="50" spans="1:13" ht="26.25" customHeight="1">
      <c r="A50" s="655">
        <v>4</v>
      </c>
      <c r="B50" s="545" t="s">
        <v>1264</v>
      </c>
      <c r="C50" s="548" t="s">
        <v>521</v>
      </c>
      <c r="D50" s="554" t="s">
        <v>522</v>
      </c>
      <c r="E50" s="555" t="s">
        <v>519</v>
      </c>
      <c r="F50" s="579">
        <v>1600</v>
      </c>
      <c r="G50" s="721">
        <v>3200</v>
      </c>
      <c r="H50" s="548" t="s">
        <v>523</v>
      </c>
      <c r="I50" s="548"/>
      <c r="J50" s="548" t="s">
        <v>1179</v>
      </c>
      <c r="K50" s="558"/>
      <c r="L50" s="558"/>
      <c r="M50" s="716"/>
    </row>
    <row r="51" spans="1:13" ht="26.25" customHeight="1">
      <c r="A51" s="588">
        <v>5</v>
      </c>
      <c r="B51" s="545" t="s">
        <v>1265</v>
      </c>
      <c r="C51" s="547" t="s">
        <v>1298</v>
      </c>
      <c r="D51" s="585" t="s">
        <v>525</v>
      </c>
      <c r="E51" s="586" t="s">
        <v>524</v>
      </c>
      <c r="F51" s="587">
        <v>8600</v>
      </c>
      <c r="G51" s="724">
        <v>17200</v>
      </c>
      <c r="H51" s="547" t="s">
        <v>1178</v>
      </c>
      <c r="I51" s="547" t="s">
        <v>776</v>
      </c>
      <c r="J51" s="547" t="s">
        <v>1179</v>
      </c>
      <c r="K51" s="546"/>
      <c r="L51" s="546"/>
      <c r="M51" s="716"/>
    </row>
    <row r="52" spans="1:13" ht="26.25" customHeight="1">
      <c r="A52" s="588">
        <v>6</v>
      </c>
      <c r="B52" s="589" t="s">
        <v>1292</v>
      </c>
      <c r="C52" s="547" t="s">
        <v>1297</v>
      </c>
      <c r="D52" s="585" t="s">
        <v>859</v>
      </c>
      <c r="E52" s="586" t="s">
        <v>524</v>
      </c>
      <c r="F52" s="587">
        <v>26000</v>
      </c>
      <c r="G52" s="724">
        <v>26000</v>
      </c>
      <c r="H52" s="547" t="s">
        <v>1178</v>
      </c>
      <c r="I52" s="547" t="s">
        <v>858</v>
      </c>
      <c r="J52" s="547" t="s">
        <v>1179</v>
      </c>
      <c r="K52" s="558"/>
      <c r="L52" s="558"/>
      <c r="M52" s="716"/>
    </row>
    <row r="53" spans="1:13" ht="21.75">
      <c r="A53" s="588">
        <v>7</v>
      </c>
      <c r="B53" s="589" t="s">
        <v>321</v>
      </c>
      <c r="C53" s="547" t="s">
        <v>1299</v>
      </c>
      <c r="D53" s="585" t="s">
        <v>526</v>
      </c>
      <c r="E53" s="586" t="s">
        <v>524</v>
      </c>
      <c r="F53" s="587">
        <v>2500</v>
      </c>
      <c r="G53" s="587"/>
      <c r="H53" s="547" t="s">
        <v>1178</v>
      </c>
      <c r="I53" s="547" t="s">
        <v>527</v>
      </c>
      <c r="J53" s="547" t="s">
        <v>9</v>
      </c>
      <c r="K53" s="557">
        <v>2500</v>
      </c>
      <c r="L53" s="558" t="s">
        <v>1029</v>
      </c>
      <c r="M53" s="716"/>
    </row>
    <row r="54" spans="1:13" ht="26.25" customHeight="1">
      <c r="A54" s="588">
        <v>8</v>
      </c>
      <c r="B54" s="589" t="s">
        <v>322</v>
      </c>
      <c r="C54" s="547" t="s">
        <v>1303</v>
      </c>
      <c r="D54" s="545" t="s">
        <v>528</v>
      </c>
      <c r="E54" s="586" t="s">
        <v>529</v>
      </c>
      <c r="F54" s="590">
        <v>11000</v>
      </c>
      <c r="G54" s="590">
        <v>11000</v>
      </c>
      <c r="H54" s="547" t="s">
        <v>1178</v>
      </c>
      <c r="I54" s="547" t="s">
        <v>530</v>
      </c>
      <c r="J54" s="547" t="s">
        <v>9</v>
      </c>
      <c r="K54" s="558"/>
      <c r="L54" s="558"/>
      <c r="M54" s="716"/>
    </row>
    <row r="55" spans="1:13" ht="24.75" customHeight="1">
      <c r="A55" s="588">
        <v>9</v>
      </c>
      <c r="B55" s="589" t="s">
        <v>1293</v>
      </c>
      <c r="C55" s="547" t="s">
        <v>1304</v>
      </c>
      <c r="D55" s="589" t="s">
        <v>1294</v>
      </c>
      <c r="E55" s="586" t="s">
        <v>681</v>
      </c>
      <c r="F55" s="590">
        <v>1200</v>
      </c>
      <c r="G55" s="590"/>
      <c r="H55" s="547" t="s">
        <v>1178</v>
      </c>
      <c r="I55" s="547" t="s">
        <v>1295</v>
      </c>
      <c r="J55" s="548" t="s">
        <v>8</v>
      </c>
      <c r="K55" s="557">
        <v>1200</v>
      </c>
      <c r="L55" s="558" t="s">
        <v>1028</v>
      </c>
      <c r="M55" s="716"/>
    </row>
    <row r="56" spans="1:13" ht="24" customHeight="1">
      <c r="A56" s="588">
        <v>10</v>
      </c>
      <c r="B56" s="589" t="s">
        <v>323</v>
      </c>
      <c r="C56" s="547" t="s">
        <v>1305</v>
      </c>
      <c r="D56" s="545" t="s">
        <v>531</v>
      </c>
      <c r="E56" s="769" t="s">
        <v>682</v>
      </c>
      <c r="F56" s="770">
        <v>94000</v>
      </c>
      <c r="G56" s="587"/>
      <c r="H56" s="547" t="s">
        <v>1178</v>
      </c>
      <c r="I56" s="646" t="s">
        <v>532</v>
      </c>
      <c r="J56" s="547" t="s">
        <v>1179</v>
      </c>
      <c r="K56" s="557">
        <v>94000</v>
      </c>
      <c r="L56" s="561" t="s">
        <v>25</v>
      </c>
      <c r="M56" s="695" t="s">
        <v>26</v>
      </c>
    </row>
    <row r="57" spans="1:13" ht="24" customHeight="1">
      <c r="A57" s="588"/>
      <c r="B57" s="589"/>
      <c r="C57" s="547" t="s">
        <v>27</v>
      </c>
      <c r="D57" s="545" t="s">
        <v>531</v>
      </c>
      <c r="E57" s="563" t="s">
        <v>28</v>
      </c>
      <c r="F57" s="578">
        <v>88000</v>
      </c>
      <c r="G57" s="556">
        <v>88000</v>
      </c>
      <c r="H57" s="548" t="s">
        <v>1178</v>
      </c>
      <c r="I57" s="548" t="s">
        <v>24</v>
      </c>
      <c r="J57" s="548" t="s">
        <v>8</v>
      </c>
      <c r="K57" s="557"/>
      <c r="L57" s="561"/>
      <c r="M57" s="716"/>
    </row>
    <row r="58" spans="1:13" ht="21.75">
      <c r="A58" s="588">
        <v>11</v>
      </c>
      <c r="B58" s="545" t="s">
        <v>324</v>
      </c>
      <c r="C58" s="548" t="s">
        <v>263</v>
      </c>
      <c r="D58" s="554" t="s">
        <v>260</v>
      </c>
      <c r="E58" s="548" t="s">
        <v>262</v>
      </c>
      <c r="F58" s="556">
        <v>8000</v>
      </c>
      <c r="G58" s="556">
        <v>16000</v>
      </c>
      <c r="H58" s="548" t="s">
        <v>1178</v>
      </c>
      <c r="I58" s="548">
        <v>407</v>
      </c>
      <c r="J58" s="548" t="s">
        <v>8</v>
      </c>
      <c r="K58" s="548"/>
      <c r="L58" s="561"/>
      <c r="M58" s="716"/>
    </row>
    <row r="59" spans="1:13" ht="23.25" customHeight="1">
      <c r="A59" s="588">
        <v>12</v>
      </c>
      <c r="B59" s="545" t="s">
        <v>325</v>
      </c>
      <c r="C59" s="548">
        <v>404480001</v>
      </c>
      <c r="D59" s="554" t="s">
        <v>307</v>
      </c>
      <c r="E59" s="548" t="s">
        <v>1288</v>
      </c>
      <c r="F59" s="556">
        <v>160280.37</v>
      </c>
      <c r="G59" s="556">
        <v>160280.37</v>
      </c>
      <c r="H59" s="548" t="s">
        <v>1306</v>
      </c>
      <c r="I59" s="548">
        <v>619</v>
      </c>
      <c r="J59" s="548" t="s">
        <v>8</v>
      </c>
      <c r="K59" s="548"/>
      <c r="L59" s="558"/>
      <c r="M59" s="716"/>
    </row>
    <row r="60" spans="1:13" ht="21.75" customHeight="1">
      <c r="A60" s="588"/>
      <c r="B60" s="545" t="s">
        <v>325</v>
      </c>
      <c r="C60" s="591" t="s">
        <v>534</v>
      </c>
      <c r="D60" s="592" t="s">
        <v>535</v>
      </c>
      <c r="E60" s="593" t="s">
        <v>536</v>
      </c>
      <c r="F60" s="594">
        <v>11000</v>
      </c>
      <c r="G60" s="594">
        <v>11000</v>
      </c>
      <c r="H60" s="591" t="s">
        <v>1178</v>
      </c>
      <c r="I60" s="591">
        <v>523</v>
      </c>
      <c r="J60" s="591" t="s">
        <v>495</v>
      </c>
      <c r="K60" s="548"/>
      <c r="L60" s="558"/>
      <c r="M60" s="716"/>
    </row>
    <row r="61" spans="1:13" ht="21.75">
      <c r="A61" s="588"/>
      <c r="B61" s="595"/>
      <c r="C61" s="591" t="s">
        <v>537</v>
      </c>
      <c r="D61" s="592" t="s">
        <v>538</v>
      </c>
      <c r="E61" s="593" t="s">
        <v>536</v>
      </c>
      <c r="F61" s="594">
        <v>12000</v>
      </c>
      <c r="G61" s="594">
        <v>12000</v>
      </c>
      <c r="H61" s="591" t="s">
        <v>1178</v>
      </c>
      <c r="I61" s="591">
        <v>523</v>
      </c>
      <c r="J61" s="591" t="s">
        <v>495</v>
      </c>
      <c r="K61" s="548"/>
      <c r="L61" s="558"/>
      <c r="M61" s="716"/>
    </row>
    <row r="62" spans="1:13" ht="23.25" customHeight="1">
      <c r="A62" s="588"/>
      <c r="B62" s="595"/>
      <c r="C62" s="591" t="s">
        <v>539</v>
      </c>
      <c r="D62" s="592" t="s">
        <v>540</v>
      </c>
      <c r="E62" s="593" t="s">
        <v>536</v>
      </c>
      <c r="F62" s="594">
        <v>13000</v>
      </c>
      <c r="G62" s="594">
        <v>52000</v>
      </c>
      <c r="H62" s="591" t="s">
        <v>1178</v>
      </c>
      <c r="I62" s="591">
        <v>511</v>
      </c>
      <c r="J62" s="591" t="s">
        <v>9</v>
      </c>
      <c r="K62" s="548"/>
      <c r="L62" s="558"/>
      <c r="M62" s="716"/>
    </row>
    <row r="63" spans="1:13" ht="20.25" customHeight="1">
      <c r="A63" s="588">
        <v>13</v>
      </c>
      <c r="B63" s="545" t="s">
        <v>326</v>
      </c>
      <c r="C63" s="548" t="s">
        <v>308</v>
      </c>
      <c r="D63" s="554" t="s">
        <v>309</v>
      </c>
      <c r="E63" s="548" t="s">
        <v>1289</v>
      </c>
      <c r="F63" s="556">
        <v>7500</v>
      </c>
      <c r="G63" s="556">
        <v>22500</v>
      </c>
      <c r="H63" s="548" t="s">
        <v>1178</v>
      </c>
      <c r="I63" s="548">
        <v>458</v>
      </c>
      <c r="J63" s="548" t="s">
        <v>8</v>
      </c>
      <c r="K63" s="547"/>
      <c r="L63" s="558"/>
      <c r="M63" s="716"/>
    </row>
    <row r="64" spans="1:13" ht="21.75" customHeight="1">
      <c r="A64" s="588">
        <v>14</v>
      </c>
      <c r="B64" s="545" t="s">
        <v>327</v>
      </c>
      <c r="C64" s="548" t="s">
        <v>312</v>
      </c>
      <c r="D64" s="554" t="s">
        <v>310</v>
      </c>
      <c r="E64" s="548" t="s">
        <v>1290</v>
      </c>
      <c r="F64" s="556">
        <v>19700</v>
      </c>
      <c r="G64" s="556">
        <v>78800</v>
      </c>
      <c r="H64" s="548" t="s">
        <v>1306</v>
      </c>
      <c r="I64" s="548">
        <v>465</v>
      </c>
      <c r="J64" s="548" t="s">
        <v>8</v>
      </c>
      <c r="K64" s="548"/>
      <c r="L64" s="558"/>
      <c r="M64" s="716"/>
    </row>
    <row r="65" spans="1:13" ht="18.75" customHeight="1">
      <c r="A65" s="588"/>
      <c r="B65" s="545"/>
      <c r="C65" s="548" t="s">
        <v>313</v>
      </c>
      <c r="D65" s="554" t="s">
        <v>311</v>
      </c>
      <c r="E65" s="548" t="s">
        <v>1290</v>
      </c>
      <c r="F65" s="556">
        <v>28050</v>
      </c>
      <c r="G65" s="556">
        <v>112200</v>
      </c>
      <c r="H65" s="548" t="s">
        <v>1306</v>
      </c>
      <c r="I65" s="548">
        <v>465</v>
      </c>
      <c r="J65" s="548" t="s">
        <v>8</v>
      </c>
      <c r="K65" s="548"/>
      <c r="L65" s="558"/>
      <c r="M65" s="716"/>
    </row>
    <row r="66" spans="1:13" ht="21.75" customHeight="1">
      <c r="A66" s="588"/>
      <c r="B66" s="545"/>
      <c r="C66" s="596" t="s">
        <v>466</v>
      </c>
      <c r="D66" s="597" t="s">
        <v>467</v>
      </c>
      <c r="E66" s="598" t="s">
        <v>723</v>
      </c>
      <c r="F66" s="599">
        <v>32833</v>
      </c>
      <c r="G66" s="601">
        <v>98500</v>
      </c>
      <c r="H66" s="596" t="s">
        <v>1178</v>
      </c>
      <c r="I66" s="596">
        <v>344</v>
      </c>
      <c r="J66" s="596" t="s">
        <v>8</v>
      </c>
      <c r="K66" s="548"/>
      <c r="L66" s="558"/>
      <c r="M66" s="716"/>
    </row>
    <row r="67" spans="1:13" ht="18.75" customHeight="1">
      <c r="A67" s="588"/>
      <c r="B67" s="545"/>
      <c r="C67" s="596" t="s">
        <v>468</v>
      </c>
      <c r="D67" s="597" t="s">
        <v>469</v>
      </c>
      <c r="E67" s="600"/>
      <c r="F67" s="599">
        <v>32833</v>
      </c>
      <c r="G67" s="601"/>
      <c r="H67" s="596"/>
      <c r="I67" s="596">
        <v>344</v>
      </c>
      <c r="J67" s="596"/>
      <c r="K67" s="548"/>
      <c r="L67" s="558"/>
      <c r="M67" s="716"/>
    </row>
    <row r="68" spans="1:13" ht="16.5" customHeight="1">
      <c r="A68" s="588"/>
      <c r="B68" s="545"/>
      <c r="C68" s="596" t="s">
        <v>470</v>
      </c>
      <c r="D68" s="597" t="s">
        <v>471</v>
      </c>
      <c r="E68" s="600"/>
      <c r="F68" s="599">
        <v>32834</v>
      </c>
      <c r="G68" s="601"/>
      <c r="H68" s="596"/>
      <c r="I68" s="596">
        <v>344</v>
      </c>
      <c r="J68" s="596"/>
      <c r="K68" s="548"/>
      <c r="L68" s="558"/>
      <c r="M68" s="716"/>
    </row>
    <row r="69" spans="1:14" ht="23.25" customHeight="1">
      <c r="A69" s="588">
        <v>15</v>
      </c>
      <c r="B69" s="545" t="s">
        <v>267</v>
      </c>
      <c r="C69" s="547" t="s">
        <v>314</v>
      </c>
      <c r="D69" s="585" t="s">
        <v>315</v>
      </c>
      <c r="E69" s="547" t="s">
        <v>714</v>
      </c>
      <c r="F69" s="587">
        <v>25993</v>
      </c>
      <c r="G69" s="556">
        <v>25993</v>
      </c>
      <c r="H69" s="548" t="s">
        <v>1178</v>
      </c>
      <c r="I69" s="548">
        <v>303</v>
      </c>
      <c r="J69" s="548" t="s">
        <v>8</v>
      </c>
      <c r="K69" s="574"/>
      <c r="L69" s="546"/>
      <c r="M69" s="716"/>
      <c r="N69" s="9"/>
    </row>
    <row r="70" spans="1:14" ht="28.5" customHeight="1">
      <c r="A70" s="720">
        <v>16</v>
      </c>
      <c r="B70" s="697" t="s">
        <v>268</v>
      </c>
      <c r="C70" s="698" t="s">
        <v>316</v>
      </c>
      <c r="D70" s="699" t="s">
        <v>317</v>
      </c>
      <c r="E70" s="698" t="s">
        <v>318</v>
      </c>
      <c r="F70" s="700">
        <v>32000</v>
      </c>
      <c r="G70" s="700">
        <v>32000</v>
      </c>
      <c r="H70" s="698" t="s">
        <v>1178</v>
      </c>
      <c r="I70" s="698">
        <v>684</v>
      </c>
      <c r="J70" s="698" t="s">
        <v>8</v>
      </c>
      <c r="K70" s="701"/>
      <c r="L70" s="702"/>
      <c r="M70" s="696"/>
      <c r="N70" s="9"/>
    </row>
    <row r="71" spans="1:13" ht="25.5" customHeight="1">
      <c r="A71" s="855" t="s">
        <v>1129</v>
      </c>
      <c r="B71" s="856"/>
      <c r="C71" s="852" t="s">
        <v>85</v>
      </c>
      <c r="D71" s="852" t="s">
        <v>81</v>
      </c>
      <c r="E71" s="852" t="s">
        <v>82</v>
      </c>
      <c r="F71" s="852" t="s">
        <v>83</v>
      </c>
      <c r="G71" s="852" t="s">
        <v>84</v>
      </c>
      <c r="H71" s="852" t="s">
        <v>86</v>
      </c>
      <c r="I71" s="852" t="s">
        <v>1174</v>
      </c>
      <c r="J71" s="852" t="s">
        <v>1175</v>
      </c>
      <c r="K71" s="852" t="s">
        <v>242</v>
      </c>
      <c r="L71" s="852" t="s">
        <v>87</v>
      </c>
      <c r="M71" s="852" t="s">
        <v>1176</v>
      </c>
    </row>
    <row r="72" spans="1:13" ht="20.25" customHeight="1">
      <c r="A72" s="857"/>
      <c r="B72" s="858"/>
      <c r="C72" s="853"/>
      <c r="D72" s="853"/>
      <c r="E72" s="853"/>
      <c r="F72" s="853"/>
      <c r="G72" s="853"/>
      <c r="H72" s="853"/>
      <c r="I72" s="853"/>
      <c r="J72" s="853"/>
      <c r="K72" s="853"/>
      <c r="L72" s="853"/>
      <c r="M72" s="853"/>
    </row>
    <row r="73" spans="1:13" ht="28.5" customHeight="1">
      <c r="A73" s="859"/>
      <c r="B73" s="860"/>
      <c r="C73" s="854"/>
      <c r="D73" s="854"/>
      <c r="E73" s="854"/>
      <c r="F73" s="854"/>
      <c r="G73" s="854"/>
      <c r="H73" s="854"/>
      <c r="I73" s="854"/>
      <c r="J73" s="854"/>
      <c r="K73" s="854"/>
      <c r="L73" s="854"/>
      <c r="M73" s="854"/>
    </row>
    <row r="74" spans="1:13" ht="28.5" customHeight="1">
      <c r="A74" s="655">
        <v>17</v>
      </c>
      <c r="B74" s="602" t="s">
        <v>328</v>
      </c>
      <c r="C74" s="603" t="s">
        <v>464</v>
      </c>
      <c r="D74" s="604" t="s">
        <v>465</v>
      </c>
      <c r="E74" s="605" t="s">
        <v>722</v>
      </c>
      <c r="F74" s="606">
        <v>6800</v>
      </c>
      <c r="G74" s="725">
        <v>6800</v>
      </c>
      <c r="H74" s="603" t="s">
        <v>1178</v>
      </c>
      <c r="I74" s="603">
        <v>276</v>
      </c>
      <c r="J74" s="548"/>
      <c r="K74" s="548"/>
      <c r="L74" s="558"/>
      <c r="M74" s="546"/>
    </row>
    <row r="75" spans="1:13" ht="28.5" customHeight="1">
      <c r="A75" s="588">
        <v>18</v>
      </c>
      <c r="B75" s="545" t="s">
        <v>329</v>
      </c>
      <c r="C75" s="548" t="s">
        <v>1008</v>
      </c>
      <c r="D75" s="554" t="s">
        <v>1009</v>
      </c>
      <c r="E75" s="548" t="s">
        <v>1010</v>
      </c>
      <c r="F75" s="556">
        <v>5000</v>
      </c>
      <c r="G75" s="705">
        <v>5000</v>
      </c>
      <c r="H75" s="591" t="s">
        <v>1178</v>
      </c>
      <c r="I75" s="548" t="s">
        <v>1011</v>
      </c>
      <c r="J75" s="548" t="s">
        <v>8</v>
      </c>
      <c r="K75" s="548"/>
      <c r="L75" s="558"/>
      <c r="M75" s="546"/>
    </row>
    <row r="76" spans="1:13" ht="21.75">
      <c r="A76" s="588">
        <v>18</v>
      </c>
      <c r="B76" s="595" t="s">
        <v>329</v>
      </c>
      <c r="C76" s="591" t="s">
        <v>1045</v>
      </c>
      <c r="D76" s="592" t="s">
        <v>1046</v>
      </c>
      <c r="E76" s="607" t="s">
        <v>1047</v>
      </c>
      <c r="F76" s="608">
        <v>16000</v>
      </c>
      <c r="G76" s="610">
        <v>16000</v>
      </c>
      <c r="H76" s="609" t="s">
        <v>1178</v>
      </c>
      <c r="I76" s="591">
        <v>379</v>
      </c>
      <c r="J76" s="591" t="s">
        <v>1313</v>
      </c>
      <c r="K76" s="548"/>
      <c r="L76" s="558"/>
      <c r="M76" s="546"/>
    </row>
    <row r="77" spans="1:13" ht="21.75">
      <c r="A77" s="588"/>
      <c r="B77" s="595"/>
      <c r="C77" s="609"/>
      <c r="D77" s="592" t="s">
        <v>1048</v>
      </c>
      <c r="E77" s="607"/>
      <c r="F77" s="608"/>
      <c r="G77" s="610"/>
      <c r="H77" s="609"/>
      <c r="I77" s="609"/>
      <c r="J77" s="591"/>
      <c r="K77" s="548"/>
      <c r="L77" s="558"/>
      <c r="M77" s="546"/>
    </row>
    <row r="78" spans="1:13" ht="21.75">
      <c r="A78" s="588"/>
      <c r="B78" s="595"/>
      <c r="C78" s="609"/>
      <c r="D78" s="592" t="s">
        <v>1049</v>
      </c>
      <c r="E78" s="607"/>
      <c r="F78" s="608"/>
      <c r="G78" s="610"/>
      <c r="H78" s="609"/>
      <c r="I78" s="591"/>
      <c r="J78" s="591"/>
      <c r="K78" s="548"/>
      <c r="L78" s="558"/>
      <c r="M78" s="546"/>
    </row>
    <row r="79" spans="1:13" ht="21.75">
      <c r="A79" s="588">
        <v>19</v>
      </c>
      <c r="B79" s="595" t="s">
        <v>330</v>
      </c>
      <c r="C79" s="591" t="s">
        <v>1050</v>
      </c>
      <c r="D79" s="592" t="s">
        <v>1051</v>
      </c>
      <c r="E79" s="607" t="s">
        <v>1052</v>
      </c>
      <c r="F79" s="608">
        <v>7500</v>
      </c>
      <c r="G79" s="610">
        <v>15000</v>
      </c>
      <c r="H79" s="591" t="s">
        <v>1178</v>
      </c>
      <c r="I79" s="591">
        <v>567</v>
      </c>
      <c r="J79" s="591" t="s">
        <v>1313</v>
      </c>
      <c r="K79" s="548"/>
      <c r="L79" s="558"/>
      <c r="M79" s="546"/>
    </row>
    <row r="80" spans="1:13" ht="21.75">
      <c r="A80" s="588"/>
      <c r="B80" s="595"/>
      <c r="C80" s="591" t="s">
        <v>1053</v>
      </c>
      <c r="D80" s="592" t="s">
        <v>1054</v>
      </c>
      <c r="E80" s="607"/>
      <c r="F80" s="608"/>
      <c r="G80" s="610"/>
      <c r="H80" s="591"/>
      <c r="I80" s="591"/>
      <c r="J80" s="591"/>
      <c r="K80" s="548"/>
      <c r="L80" s="558"/>
      <c r="M80" s="546"/>
    </row>
    <row r="81" spans="1:13" ht="25.5" customHeight="1">
      <c r="A81" s="588">
        <v>20</v>
      </c>
      <c r="B81" s="595" t="s">
        <v>331</v>
      </c>
      <c r="C81" s="591" t="s">
        <v>1055</v>
      </c>
      <c r="D81" s="592" t="s">
        <v>1056</v>
      </c>
      <c r="E81" s="607" t="s">
        <v>1057</v>
      </c>
      <c r="F81" s="608">
        <v>10000</v>
      </c>
      <c r="G81" s="610">
        <v>10000</v>
      </c>
      <c r="H81" s="591" t="s">
        <v>1178</v>
      </c>
      <c r="I81" s="591">
        <v>567</v>
      </c>
      <c r="J81" s="591" t="s">
        <v>1314</v>
      </c>
      <c r="K81" s="548"/>
      <c r="L81" s="558"/>
      <c r="M81" s="546"/>
    </row>
    <row r="82" spans="1:13" ht="21.75">
      <c r="A82" s="588"/>
      <c r="B82" s="595"/>
      <c r="C82" s="609"/>
      <c r="D82" s="592" t="s">
        <v>1058</v>
      </c>
      <c r="E82" s="607"/>
      <c r="F82" s="608"/>
      <c r="G82" s="610"/>
      <c r="H82" s="591"/>
      <c r="I82" s="591"/>
      <c r="J82" s="591"/>
      <c r="K82" s="548"/>
      <c r="L82" s="558"/>
      <c r="M82" s="546"/>
    </row>
    <row r="83" spans="1:13" ht="26.25" customHeight="1">
      <c r="A83" s="588">
        <v>21</v>
      </c>
      <c r="B83" s="595" t="s">
        <v>332</v>
      </c>
      <c r="C83" s="591" t="s">
        <v>1059</v>
      </c>
      <c r="D83" s="592" t="s">
        <v>1085</v>
      </c>
      <c r="E83" s="607" t="s">
        <v>1065</v>
      </c>
      <c r="F83" s="608">
        <v>34000</v>
      </c>
      <c r="G83" s="610">
        <v>34000</v>
      </c>
      <c r="H83" s="591" t="s">
        <v>1178</v>
      </c>
      <c r="I83" s="609">
        <v>567</v>
      </c>
      <c r="J83" s="596" t="s">
        <v>1066</v>
      </c>
      <c r="K83" s="558"/>
      <c r="L83" s="558"/>
      <c r="M83" s="546"/>
    </row>
    <row r="84" spans="1:13" ht="24" customHeight="1">
      <c r="A84" s="588"/>
      <c r="B84" s="600"/>
      <c r="C84" s="611"/>
      <c r="D84" s="612" t="s">
        <v>1067</v>
      </c>
      <c r="E84" s="607"/>
      <c r="F84" s="608"/>
      <c r="G84" s="613"/>
      <c r="H84" s="591"/>
      <c r="I84" s="609"/>
      <c r="J84" s="596" t="s">
        <v>1068</v>
      </c>
      <c r="K84" s="558"/>
      <c r="L84" s="558"/>
      <c r="M84" s="546"/>
    </row>
    <row r="85" spans="1:13" ht="25.5" customHeight="1">
      <c r="A85" s="588"/>
      <c r="B85" s="614"/>
      <c r="C85" s="609"/>
      <c r="D85" s="592" t="s">
        <v>1069</v>
      </c>
      <c r="E85" s="607"/>
      <c r="F85" s="608"/>
      <c r="G85" s="613"/>
      <c r="H85" s="591"/>
      <c r="I85" s="609"/>
      <c r="J85" s="591"/>
      <c r="K85" s="558"/>
      <c r="L85" s="558"/>
      <c r="M85" s="546"/>
    </row>
    <row r="86" spans="1:13" ht="21.75" customHeight="1">
      <c r="A86" s="588"/>
      <c r="B86" s="614"/>
      <c r="C86" s="609"/>
      <c r="D86" s="592" t="s">
        <v>1070</v>
      </c>
      <c r="E86" s="607"/>
      <c r="F86" s="608"/>
      <c r="G86" s="613"/>
      <c r="H86" s="609"/>
      <c r="I86" s="609"/>
      <c r="J86" s="591"/>
      <c r="K86" s="558"/>
      <c r="L86" s="558"/>
      <c r="M86" s="546"/>
    </row>
    <row r="87" spans="1:13" ht="20.25" customHeight="1">
      <c r="A87" s="588"/>
      <c r="B87" s="614"/>
      <c r="C87" s="609"/>
      <c r="D87" s="592" t="s">
        <v>619</v>
      </c>
      <c r="E87" s="607"/>
      <c r="F87" s="608"/>
      <c r="G87" s="613"/>
      <c r="H87" s="609"/>
      <c r="I87" s="609"/>
      <c r="J87" s="591"/>
      <c r="K87" s="558"/>
      <c r="L87" s="558"/>
      <c r="M87" s="546"/>
    </row>
    <row r="88" spans="1:13" ht="28.5" customHeight="1">
      <c r="A88" s="588">
        <v>22</v>
      </c>
      <c r="B88" s="548" t="s">
        <v>1291</v>
      </c>
      <c r="C88" s="548" t="s">
        <v>1291</v>
      </c>
      <c r="D88" s="554" t="s">
        <v>1185</v>
      </c>
      <c r="E88" s="548" t="s">
        <v>676</v>
      </c>
      <c r="F88" s="556">
        <v>300</v>
      </c>
      <c r="G88" s="556"/>
      <c r="H88" s="579"/>
      <c r="I88" s="548"/>
      <c r="J88" s="548"/>
      <c r="K88" s="557">
        <v>19500</v>
      </c>
      <c r="L88" s="558" t="s">
        <v>1028</v>
      </c>
      <c r="M88" s="546"/>
    </row>
    <row r="89" spans="1:13" ht="21.75" customHeight="1">
      <c r="A89" s="588"/>
      <c r="B89" s="545" t="s">
        <v>1032</v>
      </c>
      <c r="C89" s="548" t="s">
        <v>1274</v>
      </c>
      <c r="D89" s="554"/>
      <c r="E89" s="555"/>
      <c r="F89" s="556"/>
      <c r="G89" s="556"/>
      <c r="H89" s="548"/>
      <c r="I89" s="548"/>
      <c r="J89" s="548"/>
      <c r="K89" s="558"/>
      <c r="L89" s="558"/>
      <c r="M89" s="546"/>
    </row>
    <row r="90" spans="1:13" ht="21.75" customHeight="1">
      <c r="A90" s="588" t="s">
        <v>1155</v>
      </c>
      <c r="B90" s="545" t="s">
        <v>487</v>
      </c>
      <c r="C90" s="548" t="s">
        <v>488</v>
      </c>
      <c r="D90" s="545" t="s">
        <v>1309</v>
      </c>
      <c r="E90" s="555" t="s">
        <v>685</v>
      </c>
      <c r="F90" s="556">
        <v>18600</v>
      </c>
      <c r="G90" s="556"/>
      <c r="H90" s="548"/>
      <c r="I90" s="548" t="s">
        <v>79</v>
      </c>
      <c r="J90" s="548" t="s">
        <v>80</v>
      </c>
      <c r="K90" s="690">
        <v>18600</v>
      </c>
      <c r="L90" s="558" t="s">
        <v>1029</v>
      </c>
      <c r="M90" s="546"/>
    </row>
    <row r="91" spans="1:13" ht="21.75" customHeight="1">
      <c r="A91" s="588"/>
      <c r="B91" s="545"/>
      <c r="C91" s="548"/>
      <c r="D91" s="554"/>
      <c r="E91" s="555"/>
      <c r="F91" s="556"/>
      <c r="G91" s="556"/>
      <c r="H91" s="548"/>
      <c r="I91" s="548"/>
      <c r="J91" s="548"/>
      <c r="K91" s="558"/>
      <c r="L91" s="558"/>
      <c r="M91" s="546"/>
    </row>
    <row r="92" spans="1:13" ht="28.5" customHeight="1">
      <c r="A92" s="588" t="s">
        <v>1156</v>
      </c>
      <c r="B92" s="595" t="s">
        <v>1279</v>
      </c>
      <c r="C92" s="591" t="s">
        <v>1275</v>
      </c>
      <c r="D92" s="592" t="s">
        <v>668</v>
      </c>
      <c r="E92" s="615" t="s">
        <v>552</v>
      </c>
      <c r="F92" s="594">
        <v>75000</v>
      </c>
      <c r="G92" s="610">
        <v>75000</v>
      </c>
      <c r="H92" s="591" t="s">
        <v>1178</v>
      </c>
      <c r="I92" s="591">
        <v>189</v>
      </c>
      <c r="J92" s="591" t="s">
        <v>495</v>
      </c>
      <c r="K92" s="558"/>
      <c r="L92" s="558"/>
      <c r="M92" s="546"/>
    </row>
    <row r="93" spans="1:13" ht="28.5" customHeight="1">
      <c r="A93" s="634"/>
      <c r="B93" s="617"/>
      <c r="C93" s="703"/>
      <c r="D93" s="628" t="s">
        <v>669</v>
      </c>
      <c r="E93" s="617"/>
      <c r="F93" s="617"/>
      <c r="G93" s="684"/>
      <c r="H93" s="618"/>
      <c r="I93" s="618"/>
      <c r="J93" s="618"/>
      <c r="K93" s="619"/>
      <c r="L93" s="619"/>
      <c r="M93" s="569"/>
    </row>
    <row r="94" spans="1:13" ht="21.75" customHeight="1">
      <c r="A94" s="857" t="s">
        <v>1129</v>
      </c>
      <c r="B94" s="858"/>
      <c r="C94" s="853" t="s">
        <v>85</v>
      </c>
      <c r="D94" s="853" t="s">
        <v>81</v>
      </c>
      <c r="E94" s="853" t="s">
        <v>82</v>
      </c>
      <c r="F94" s="853" t="s">
        <v>83</v>
      </c>
      <c r="G94" s="853" t="s">
        <v>84</v>
      </c>
      <c r="H94" s="853" t="s">
        <v>86</v>
      </c>
      <c r="I94" s="853" t="s">
        <v>1174</v>
      </c>
      <c r="J94" s="853" t="s">
        <v>1175</v>
      </c>
      <c r="K94" s="853" t="s">
        <v>242</v>
      </c>
      <c r="L94" s="853" t="s">
        <v>87</v>
      </c>
      <c r="M94" s="852" t="s">
        <v>1176</v>
      </c>
    </row>
    <row r="95" spans="1:13" ht="19.5" customHeight="1">
      <c r="A95" s="857"/>
      <c r="B95" s="858"/>
      <c r="C95" s="853"/>
      <c r="D95" s="853"/>
      <c r="E95" s="853"/>
      <c r="F95" s="853"/>
      <c r="G95" s="853"/>
      <c r="H95" s="853"/>
      <c r="I95" s="853"/>
      <c r="J95" s="853"/>
      <c r="K95" s="853"/>
      <c r="L95" s="853"/>
      <c r="M95" s="853"/>
    </row>
    <row r="96" spans="1:13" ht="17.25" customHeight="1">
      <c r="A96" s="859"/>
      <c r="B96" s="860"/>
      <c r="C96" s="854"/>
      <c r="D96" s="854"/>
      <c r="E96" s="854"/>
      <c r="F96" s="854"/>
      <c r="G96" s="854"/>
      <c r="H96" s="854"/>
      <c r="I96" s="854"/>
      <c r="J96" s="854"/>
      <c r="K96" s="854"/>
      <c r="L96" s="854"/>
      <c r="M96" s="854"/>
    </row>
    <row r="97" spans="1:13" ht="22.5" customHeight="1">
      <c r="A97" s="655"/>
      <c r="B97" s="595"/>
      <c r="C97" s="609"/>
      <c r="D97" s="771" t="s">
        <v>1044</v>
      </c>
      <c r="E97" s="607"/>
      <c r="F97" s="608"/>
      <c r="G97" s="613"/>
      <c r="H97" s="609"/>
      <c r="I97" s="609"/>
      <c r="J97" s="591"/>
      <c r="K97" s="558"/>
      <c r="L97" s="558"/>
      <c r="M97" s="637"/>
    </row>
    <row r="98" spans="1:13" ht="28.5" customHeight="1">
      <c r="A98" s="588" t="s">
        <v>1157</v>
      </c>
      <c r="B98" s="595" t="s">
        <v>1280</v>
      </c>
      <c r="C98" s="591" t="s">
        <v>1276</v>
      </c>
      <c r="D98" s="595" t="s">
        <v>1071</v>
      </c>
      <c r="E98" s="593" t="s">
        <v>1072</v>
      </c>
      <c r="F98" s="594"/>
      <c r="G98" s="610">
        <v>48900</v>
      </c>
      <c r="H98" s="591" t="s">
        <v>1178</v>
      </c>
      <c r="I98" s="591">
        <v>795</v>
      </c>
      <c r="J98" s="591" t="s">
        <v>1066</v>
      </c>
      <c r="K98" s="558"/>
      <c r="L98" s="558"/>
      <c r="M98" s="546"/>
    </row>
    <row r="99" spans="1:13" ht="25.5" customHeight="1">
      <c r="A99" s="588"/>
      <c r="B99" s="595"/>
      <c r="C99" s="591"/>
      <c r="D99" s="595" t="s">
        <v>1073</v>
      </c>
      <c r="E99" s="593"/>
      <c r="F99" s="594"/>
      <c r="G99" s="610"/>
      <c r="H99" s="591"/>
      <c r="I99" s="591"/>
      <c r="J99" s="591" t="s">
        <v>1068</v>
      </c>
      <c r="K99" s="558"/>
      <c r="L99" s="558"/>
      <c r="M99" s="546"/>
    </row>
    <row r="100" spans="1:13" ht="21.75">
      <c r="A100" s="588"/>
      <c r="B100" s="595"/>
      <c r="C100" s="591"/>
      <c r="D100" s="692" t="s">
        <v>1074</v>
      </c>
      <c r="E100" s="593" t="s">
        <v>1072</v>
      </c>
      <c r="F100" s="620" t="s">
        <v>573</v>
      </c>
      <c r="G100" s="610"/>
      <c r="H100" s="591" t="s">
        <v>1178</v>
      </c>
      <c r="I100" s="591">
        <v>795</v>
      </c>
      <c r="J100" s="591"/>
      <c r="K100" s="546"/>
      <c r="L100" s="546"/>
      <c r="M100" s="546"/>
    </row>
    <row r="101" spans="1:13" ht="21.75">
      <c r="A101" s="588"/>
      <c r="B101" s="595" t="s">
        <v>1075</v>
      </c>
      <c r="C101" s="591"/>
      <c r="D101" s="595" t="s">
        <v>1075</v>
      </c>
      <c r="E101" s="593"/>
      <c r="F101" s="620"/>
      <c r="G101" s="610"/>
      <c r="H101" s="591"/>
      <c r="I101" s="591"/>
      <c r="J101" s="591"/>
      <c r="K101" s="558"/>
      <c r="L101" s="558"/>
      <c r="M101" s="546"/>
    </row>
    <row r="102" spans="1:13" ht="21.75">
      <c r="A102" s="588"/>
      <c r="B102" s="595"/>
      <c r="C102" s="591"/>
      <c r="D102" s="595" t="s">
        <v>1076</v>
      </c>
      <c r="E102" s="593"/>
      <c r="F102" s="620"/>
      <c r="G102" s="610"/>
      <c r="H102" s="591"/>
      <c r="I102" s="591"/>
      <c r="J102" s="591"/>
      <c r="K102" s="558"/>
      <c r="L102" s="558"/>
      <c r="M102" s="546"/>
    </row>
    <row r="103" spans="1:13" ht="21.75">
      <c r="A103" s="588"/>
      <c r="B103" s="595"/>
      <c r="C103" s="591"/>
      <c r="D103" s="595" t="s">
        <v>860</v>
      </c>
      <c r="E103" s="593"/>
      <c r="F103" s="620"/>
      <c r="G103" s="610"/>
      <c r="H103" s="591"/>
      <c r="I103" s="591"/>
      <c r="J103" s="591"/>
      <c r="K103" s="558"/>
      <c r="L103" s="558"/>
      <c r="M103" s="546"/>
    </row>
    <row r="104" spans="1:13" ht="21.75">
      <c r="A104" s="588"/>
      <c r="B104" s="595" t="s">
        <v>1078</v>
      </c>
      <c r="C104" s="591" t="s">
        <v>1077</v>
      </c>
      <c r="D104" s="595" t="s">
        <v>1078</v>
      </c>
      <c r="E104" s="593" t="s">
        <v>1072</v>
      </c>
      <c r="F104" s="620">
        <v>15000</v>
      </c>
      <c r="G104" s="610"/>
      <c r="H104" s="591" t="s">
        <v>1178</v>
      </c>
      <c r="I104" s="591">
        <v>795</v>
      </c>
      <c r="J104" s="591"/>
      <c r="K104" s="558"/>
      <c r="L104" s="558"/>
      <c r="M104" s="546"/>
    </row>
    <row r="105" spans="1:13" ht="21.75">
      <c r="A105" s="588"/>
      <c r="B105" s="595"/>
      <c r="C105" s="609"/>
      <c r="D105" s="592" t="s">
        <v>1079</v>
      </c>
      <c r="E105" s="607"/>
      <c r="F105" s="621"/>
      <c r="G105" s="613"/>
      <c r="H105" s="609"/>
      <c r="I105" s="609"/>
      <c r="J105" s="591"/>
      <c r="K105" s="558"/>
      <c r="L105" s="558"/>
      <c r="M105" s="546"/>
    </row>
    <row r="106" spans="1:13" ht="21.75">
      <c r="A106" s="588"/>
      <c r="B106" s="595"/>
      <c r="C106" s="609"/>
      <c r="D106" s="592" t="s">
        <v>1080</v>
      </c>
      <c r="E106" s="607"/>
      <c r="F106" s="621"/>
      <c r="G106" s="613"/>
      <c r="H106" s="609"/>
      <c r="I106" s="609"/>
      <c r="J106" s="591"/>
      <c r="K106" s="558"/>
      <c r="L106" s="558"/>
      <c r="M106" s="546"/>
    </row>
    <row r="107" spans="1:13" ht="21.75">
      <c r="A107" s="588"/>
      <c r="B107" s="592" t="s">
        <v>1082</v>
      </c>
      <c r="C107" s="609" t="s">
        <v>1081</v>
      </c>
      <c r="D107" s="592" t="s">
        <v>1082</v>
      </c>
      <c r="E107" s="607" t="s">
        <v>1072</v>
      </c>
      <c r="F107" s="621">
        <v>9800</v>
      </c>
      <c r="G107" s="613"/>
      <c r="H107" s="591" t="s">
        <v>1178</v>
      </c>
      <c r="I107" s="591">
        <v>795</v>
      </c>
      <c r="J107" s="591"/>
      <c r="K107" s="558"/>
      <c r="L107" s="558"/>
      <c r="M107" s="546"/>
    </row>
    <row r="108" spans="1:13" ht="21.75">
      <c r="A108" s="588"/>
      <c r="B108" s="595"/>
      <c r="C108" s="609"/>
      <c r="D108" s="592" t="s">
        <v>1083</v>
      </c>
      <c r="E108" s="607"/>
      <c r="F108" s="621"/>
      <c r="G108" s="613"/>
      <c r="H108" s="591"/>
      <c r="I108" s="591"/>
      <c r="J108" s="591"/>
      <c r="K108" s="558"/>
      <c r="L108" s="558"/>
      <c r="M108" s="546"/>
    </row>
    <row r="109" spans="1:13" ht="21.75">
      <c r="A109" s="588"/>
      <c r="B109" s="595"/>
      <c r="C109" s="609"/>
      <c r="D109" s="592" t="s">
        <v>1084</v>
      </c>
      <c r="E109" s="607"/>
      <c r="F109" s="621"/>
      <c r="G109" s="613"/>
      <c r="H109" s="591"/>
      <c r="I109" s="591"/>
      <c r="J109" s="591"/>
      <c r="K109" s="558"/>
      <c r="L109" s="558"/>
      <c r="M109" s="546"/>
    </row>
    <row r="110" spans="1:13" ht="21.75">
      <c r="A110" s="588"/>
      <c r="B110" s="592" t="s">
        <v>1086</v>
      </c>
      <c r="C110" s="609" t="s">
        <v>1277</v>
      </c>
      <c r="D110" s="592" t="s">
        <v>1086</v>
      </c>
      <c r="E110" s="607" t="s">
        <v>1072</v>
      </c>
      <c r="F110" s="621" t="s">
        <v>574</v>
      </c>
      <c r="G110" s="613"/>
      <c r="H110" s="591" t="s">
        <v>1178</v>
      </c>
      <c r="I110" s="591">
        <v>795</v>
      </c>
      <c r="J110" s="591"/>
      <c r="K110" s="558"/>
      <c r="L110" s="558"/>
      <c r="M110" s="546"/>
    </row>
    <row r="111" spans="1:13" ht="21.75">
      <c r="A111" s="588"/>
      <c r="B111" s="573"/>
      <c r="C111" s="622"/>
      <c r="D111" s="623" t="s">
        <v>1087</v>
      </c>
      <c r="E111" s="624"/>
      <c r="F111" s="625"/>
      <c r="G111" s="626"/>
      <c r="H111" s="627"/>
      <c r="I111" s="627"/>
      <c r="J111" s="627"/>
      <c r="K111" s="546"/>
      <c r="L111" s="558"/>
      <c r="M111" s="546"/>
    </row>
    <row r="112" spans="1:13" ht="26.25" customHeight="1">
      <c r="A112" s="588"/>
      <c r="B112" s="592" t="s">
        <v>1089</v>
      </c>
      <c r="C112" s="609" t="s">
        <v>1088</v>
      </c>
      <c r="D112" s="592" t="s">
        <v>1089</v>
      </c>
      <c r="E112" s="607" t="s">
        <v>1072</v>
      </c>
      <c r="F112" s="621">
        <v>2500</v>
      </c>
      <c r="G112" s="613"/>
      <c r="H112" s="591" t="s">
        <v>1178</v>
      </c>
      <c r="I112" s="591">
        <v>795</v>
      </c>
      <c r="J112" s="591"/>
      <c r="K112" s="558"/>
      <c r="L112" s="558"/>
      <c r="M112" s="546"/>
    </row>
    <row r="113" spans="1:13" ht="25.5" customHeight="1">
      <c r="A113" s="588"/>
      <c r="B113" s="595"/>
      <c r="C113" s="609"/>
      <c r="D113" s="592" t="s">
        <v>1090</v>
      </c>
      <c r="E113" s="607"/>
      <c r="F113" s="621"/>
      <c r="G113" s="613"/>
      <c r="H113" s="591"/>
      <c r="I113" s="591"/>
      <c r="J113" s="591"/>
      <c r="K113" s="558"/>
      <c r="L113" s="558"/>
      <c r="M113" s="546"/>
    </row>
    <row r="114" spans="1:13" ht="22.5" customHeight="1">
      <c r="A114" s="588"/>
      <c r="B114" s="595"/>
      <c r="C114" s="609"/>
      <c r="D114" s="592" t="s">
        <v>919</v>
      </c>
      <c r="E114" s="607"/>
      <c r="F114" s="621"/>
      <c r="G114" s="613"/>
      <c r="H114" s="591"/>
      <c r="I114" s="591"/>
      <c r="J114" s="591"/>
      <c r="K114" s="558"/>
      <c r="L114" s="558"/>
      <c r="M114" s="546"/>
    </row>
    <row r="115" spans="1:13" ht="25.5" customHeight="1">
      <c r="A115" s="588" t="s">
        <v>1158</v>
      </c>
      <c r="B115" s="592" t="s">
        <v>269</v>
      </c>
      <c r="C115" s="609"/>
      <c r="D115" s="592" t="s">
        <v>269</v>
      </c>
      <c r="E115" s="607" t="s">
        <v>1091</v>
      </c>
      <c r="F115" s="621"/>
      <c r="G115" s="610">
        <v>94000</v>
      </c>
      <c r="H115" s="591" t="s">
        <v>1178</v>
      </c>
      <c r="I115" s="591">
        <v>1077</v>
      </c>
      <c r="J115" s="591"/>
      <c r="K115" s="558"/>
      <c r="L115" s="570"/>
      <c r="M115" s="546"/>
    </row>
    <row r="116" spans="1:13" ht="26.25" customHeight="1">
      <c r="A116" s="588"/>
      <c r="B116" s="595"/>
      <c r="C116" s="609"/>
      <c r="D116" s="592" t="s">
        <v>1092</v>
      </c>
      <c r="E116" s="607"/>
      <c r="F116" s="621"/>
      <c r="G116" s="613"/>
      <c r="H116" s="591"/>
      <c r="I116" s="591"/>
      <c r="J116" s="591"/>
      <c r="K116" s="558"/>
      <c r="L116" s="570"/>
      <c r="M116" s="546"/>
    </row>
    <row r="117" spans="1:13" ht="28.5" customHeight="1">
      <c r="A117" s="634"/>
      <c r="B117" s="617"/>
      <c r="C117" s="711"/>
      <c r="D117" s="628" t="s">
        <v>1093</v>
      </c>
      <c r="E117" s="712"/>
      <c r="F117" s="713"/>
      <c r="G117" s="714"/>
      <c r="H117" s="618"/>
      <c r="I117" s="618"/>
      <c r="J117" s="618"/>
      <c r="K117" s="619"/>
      <c r="L117" s="672"/>
      <c r="M117" s="569"/>
    </row>
    <row r="118" spans="1:13" ht="24.75" customHeight="1">
      <c r="A118" s="855" t="s">
        <v>1129</v>
      </c>
      <c r="B118" s="856"/>
      <c r="C118" s="852" t="s">
        <v>85</v>
      </c>
      <c r="D118" s="852" t="s">
        <v>81</v>
      </c>
      <c r="E118" s="852" t="s">
        <v>82</v>
      </c>
      <c r="F118" s="852" t="s">
        <v>83</v>
      </c>
      <c r="G118" s="852" t="s">
        <v>84</v>
      </c>
      <c r="H118" s="852" t="s">
        <v>86</v>
      </c>
      <c r="I118" s="852" t="s">
        <v>1174</v>
      </c>
      <c r="J118" s="852" t="s">
        <v>1175</v>
      </c>
      <c r="K118" s="852" t="s">
        <v>242</v>
      </c>
      <c r="L118" s="852" t="s">
        <v>87</v>
      </c>
      <c r="M118" s="852" t="s">
        <v>1176</v>
      </c>
    </row>
    <row r="119" spans="1:13" ht="15.75" customHeight="1">
      <c r="A119" s="857"/>
      <c r="B119" s="858"/>
      <c r="C119" s="853"/>
      <c r="D119" s="853"/>
      <c r="E119" s="853"/>
      <c r="F119" s="853"/>
      <c r="G119" s="853"/>
      <c r="H119" s="853"/>
      <c r="I119" s="853"/>
      <c r="J119" s="853"/>
      <c r="K119" s="853"/>
      <c r="L119" s="853"/>
      <c r="M119" s="853"/>
    </row>
    <row r="120" spans="1:13" ht="15" customHeight="1">
      <c r="A120" s="859"/>
      <c r="B120" s="860"/>
      <c r="C120" s="854"/>
      <c r="D120" s="854"/>
      <c r="E120" s="854"/>
      <c r="F120" s="854"/>
      <c r="G120" s="854"/>
      <c r="H120" s="854"/>
      <c r="I120" s="854"/>
      <c r="J120" s="854"/>
      <c r="K120" s="854"/>
      <c r="L120" s="854"/>
      <c r="M120" s="854"/>
    </row>
    <row r="121" spans="1:13" ht="21.75">
      <c r="A121" s="655"/>
      <c r="B121" s="595"/>
      <c r="C121" s="609"/>
      <c r="D121" s="592" t="s">
        <v>1094</v>
      </c>
      <c r="E121" s="607"/>
      <c r="F121" s="621"/>
      <c r="G121" s="613"/>
      <c r="H121" s="609"/>
      <c r="I121" s="609"/>
      <c r="J121" s="627"/>
      <c r="K121" s="581"/>
      <c r="L121" s="581"/>
      <c r="M121" s="546"/>
    </row>
    <row r="122" spans="1:13" ht="21.75">
      <c r="A122" s="588"/>
      <c r="B122" s="595" t="s">
        <v>78</v>
      </c>
      <c r="C122" s="591" t="s">
        <v>1095</v>
      </c>
      <c r="D122" s="595" t="s">
        <v>78</v>
      </c>
      <c r="E122" s="593" t="s">
        <v>1091</v>
      </c>
      <c r="F122" s="620">
        <v>32000</v>
      </c>
      <c r="G122" s="610"/>
      <c r="H122" s="591" t="s">
        <v>1178</v>
      </c>
      <c r="I122" s="591">
        <v>1077</v>
      </c>
      <c r="J122" s="591" t="s">
        <v>1096</v>
      </c>
      <c r="K122" s="558"/>
      <c r="L122" s="558"/>
      <c r="M122" s="546"/>
    </row>
    <row r="123" spans="1:13" ht="21.75">
      <c r="A123" s="588"/>
      <c r="B123" s="595"/>
      <c r="C123" s="591"/>
      <c r="D123" s="592" t="s">
        <v>1097</v>
      </c>
      <c r="E123" s="593"/>
      <c r="F123" s="620"/>
      <c r="G123" s="610"/>
      <c r="H123" s="591"/>
      <c r="I123" s="591"/>
      <c r="J123" s="591" t="s">
        <v>533</v>
      </c>
      <c r="K123" s="558"/>
      <c r="L123" s="558"/>
      <c r="M123" s="546"/>
    </row>
    <row r="124" spans="1:13" ht="21.75">
      <c r="A124" s="588"/>
      <c r="B124" s="595"/>
      <c r="C124" s="591"/>
      <c r="D124" s="592" t="s">
        <v>1098</v>
      </c>
      <c r="E124" s="593"/>
      <c r="F124" s="620"/>
      <c r="G124" s="610"/>
      <c r="H124" s="591"/>
      <c r="I124" s="591"/>
      <c r="J124" s="591"/>
      <c r="K124" s="545"/>
      <c r="L124" s="589"/>
      <c r="M124" s="546"/>
    </row>
    <row r="125" spans="1:13" ht="21.75">
      <c r="A125" s="588"/>
      <c r="B125" s="595"/>
      <c r="C125" s="591"/>
      <c r="D125" s="592" t="s">
        <v>1099</v>
      </c>
      <c r="E125" s="593"/>
      <c r="F125" s="620"/>
      <c r="G125" s="610"/>
      <c r="H125" s="591"/>
      <c r="I125" s="591"/>
      <c r="J125" s="591"/>
      <c r="K125" s="545"/>
      <c r="L125" s="589"/>
      <c r="M125" s="546"/>
    </row>
    <row r="126" spans="1:13" ht="21.75">
      <c r="A126" s="588"/>
      <c r="B126" s="595"/>
      <c r="C126" s="591"/>
      <c r="D126" s="592" t="s">
        <v>1100</v>
      </c>
      <c r="E126" s="593"/>
      <c r="F126" s="620"/>
      <c r="G126" s="610"/>
      <c r="H126" s="591"/>
      <c r="I126" s="591"/>
      <c r="J126" s="591"/>
      <c r="K126" s="545"/>
      <c r="L126" s="545"/>
      <c r="M126" s="546"/>
    </row>
    <row r="127" spans="1:13" ht="26.25" customHeight="1">
      <c r="A127" s="588"/>
      <c r="B127" s="595" t="s">
        <v>1102</v>
      </c>
      <c r="C127" s="591" t="s">
        <v>1101</v>
      </c>
      <c r="D127" s="595" t="s">
        <v>1102</v>
      </c>
      <c r="E127" s="593" t="s">
        <v>1091</v>
      </c>
      <c r="F127" s="620">
        <v>16500</v>
      </c>
      <c r="G127" s="610"/>
      <c r="H127" s="591" t="s">
        <v>1178</v>
      </c>
      <c r="I127" s="591">
        <v>1077</v>
      </c>
      <c r="J127" s="591" t="s">
        <v>1103</v>
      </c>
      <c r="K127" s="545"/>
      <c r="L127" s="589"/>
      <c r="M127" s="546"/>
    </row>
    <row r="128" spans="1:13" ht="21.75">
      <c r="A128" s="588"/>
      <c r="B128" s="595"/>
      <c r="C128" s="591"/>
      <c r="D128" s="595" t="s">
        <v>1104</v>
      </c>
      <c r="E128" s="593"/>
      <c r="F128" s="620"/>
      <c r="G128" s="610"/>
      <c r="H128" s="591"/>
      <c r="I128" s="591"/>
      <c r="J128" s="591" t="s">
        <v>459</v>
      </c>
      <c r="K128" s="545"/>
      <c r="L128" s="589"/>
      <c r="M128" s="546"/>
    </row>
    <row r="129" spans="1:13" ht="21.75">
      <c r="A129" s="588"/>
      <c r="B129" s="595"/>
      <c r="C129" s="591"/>
      <c r="D129" s="595" t="s">
        <v>1105</v>
      </c>
      <c r="E129" s="593"/>
      <c r="F129" s="620"/>
      <c r="G129" s="610"/>
      <c r="H129" s="591"/>
      <c r="I129" s="591"/>
      <c r="J129" s="591" t="s">
        <v>727</v>
      </c>
      <c r="K129" s="545"/>
      <c r="L129" s="545"/>
      <c r="M129" s="546"/>
    </row>
    <row r="130" spans="1:13" ht="21.75">
      <c r="A130" s="588"/>
      <c r="B130" s="595"/>
      <c r="C130" s="591"/>
      <c r="D130" s="595" t="s">
        <v>1106</v>
      </c>
      <c r="E130" s="593"/>
      <c r="F130" s="620"/>
      <c r="G130" s="610"/>
      <c r="H130" s="591"/>
      <c r="I130" s="591"/>
      <c r="J130" s="591"/>
      <c r="K130" s="545"/>
      <c r="L130" s="545"/>
      <c r="M130" s="545"/>
    </row>
    <row r="131" spans="1:13" ht="21.75">
      <c r="A131" s="588"/>
      <c r="B131" s="592" t="s">
        <v>1102</v>
      </c>
      <c r="C131" s="591" t="s">
        <v>726</v>
      </c>
      <c r="D131" s="592" t="s">
        <v>1102</v>
      </c>
      <c r="E131" s="593" t="s">
        <v>1091</v>
      </c>
      <c r="F131" s="632">
        <v>45500</v>
      </c>
      <c r="G131" s="610"/>
      <c r="H131" s="591" t="s">
        <v>1178</v>
      </c>
      <c r="I131" s="591">
        <v>1077</v>
      </c>
      <c r="J131" s="591" t="s">
        <v>1107</v>
      </c>
      <c r="K131" s="545"/>
      <c r="L131" s="545"/>
      <c r="M131" s="545"/>
    </row>
    <row r="132" spans="1:13" ht="27.75" customHeight="1">
      <c r="A132" s="588"/>
      <c r="B132" s="595"/>
      <c r="C132" s="591"/>
      <c r="D132" s="592" t="s">
        <v>1108</v>
      </c>
      <c r="E132" s="593"/>
      <c r="F132" s="620"/>
      <c r="G132" s="610"/>
      <c r="H132" s="591"/>
      <c r="I132" s="591"/>
      <c r="J132" s="591"/>
      <c r="K132" s="558"/>
      <c r="L132" s="558"/>
      <c r="M132" s="545"/>
    </row>
    <row r="133" spans="1:13" ht="27" customHeight="1">
      <c r="A133" s="588"/>
      <c r="B133" s="595"/>
      <c r="C133" s="591"/>
      <c r="D133" s="592" t="s">
        <v>1105</v>
      </c>
      <c r="E133" s="607"/>
      <c r="F133" s="621"/>
      <c r="G133" s="613"/>
      <c r="H133" s="609"/>
      <c r="I133" s="609"/>
      <c r="J133" s="591"/>
      <c r="K133" s="558"/>
      <c r="L133" s="558"/>
      <c r="M133" s="545"/>
    </row>
    <row r="134" spans="1:13" ht="31.5" customHeight="1">
      <c r="A134" s="588"/>
      <c r="B134" s="595"/>
      <c r="C134" s="609"/>
      <c r="D134" s="592" t="s">
        <v>1109</v>
      </c>
      <c r="E134" s="607"/>
      <c r="F134" s="621"/>
      <c r="G134" s="613"/>
      <c r="H134" s="609"/>
      <c r="I134" s="609"/>
      <c r="J134" s="591"/>
      <c r="K134" s="558"/>
      <c r="L134" s="558"/>
      <c r="M134" s="545"/>
    </row>
    <row r="135" spans="1:13" ht="37.5">
      <c r="A135" s="588"/>
      <c r="B135" s="545" t="s">
        <v>121</v>
      </c>
      <c r="C135" s="548"/>
      <c r="D135" s="589"/>
      <c r="E135" s="563"/>
      <c r="F135" s="578"/>
      <c r="G135" s="578"/>
      <c r="H135" s="548"/>
      <c r="I135" s="570"/>
      <c r="J135" s="548"/>
      <c r="K135" s="558"/>
      <c r="L135" s="558"/>
      <c r="M135" s="545"/>
    </row>
    <row r="136" spans="1:13" ht="38.25" customHeight="1">
      <c r="A136" s="588" t="s">
        <v>1155</v>
      </c>
      <c r="B136" s="545" t="s">
        <v>1268</v>
      </c>
      <c r="C136" s="548" t="s">
        <v>1308</v>
      </c>
      <c r="D136" s="554" t="s">
        <v>615</v>
      </c>
      <c r="E136" s="555" t="s">
        <v>684</v>
      </c>
      <c r="F136" s="556">
        <v>39000</v>
      </c>
      <c r="G136" s="556">
        <f>F136*1</f>
        <v>39000</v>
      </c>
      <c r="H136" s="548" t="s">
        <v>1178</v>
      </c>
      <c r="I136" s="548" t="s">
        <v>235</v>
      </c>
      <c r="J136" s="548" t="s">
        <v>1179</v>
      </c>
      <c r="K136" s="558"/>
      <c r="L136" s="558"/>
      <c r="M136" s="545"/>
    </row>
    <row r="137" spans="1:13" ht="38.25" customHeight="1">
      <c r="A137" s="588"/>
      <c r="B137" s="545"/>
      <c r="C137" s="548" t="s">
        <v>146</v>
      </c>
      <c r="D137" s="554" t="s">
        <v>616</v>
      </c>
      <c r="E137" s="555" t="s">
        <v>234</v>
      </c>
      <c r="F137" s="562">
        <v>33380</v>
      </c>
      <c r="G137" s="562">
        <v>33380</v>
      </c>
      <c r="H137" s="548" t="s">
        <v>1178</v>
      </c>
      <c r="I137" s="548" t="s">
        <v>236</v>
      </c>
      <c r="J137" s="589" t="s">
        <v>9</v>
      </c>
      <c r="K137" s="589"/>
      <c r="L137" s="589"/>
      <c r="M137" s="546"/>
    </row>
    <row r="138" spans="1:13" ht="31.5" customHeight="1">
      <c r="A138" s="588" t="s">
        <v>1156</v>
      </c>
      <c r="B138" s="545" t="s">
        <v>1270</v>
      </c>
      <c r="C138" s="570"/>
      <c r="D138" s="554" t="s">
        <v>444</v>
      </c>
      <c r="E138" s="598" t="s">
        <v>445</v>
      </c>
      <c r="F138" s="578"/>
      <c r="G138" s="578"/>
      <c r="H138" s="570"/>
      <c r="I138" s="570"/>
      <c r="J138" s="570"/>
      <c r="K138" s="589"/>
      <c r="L138" s="589"/>
      <c r="M138" s="546"/>
    </row>
    <row r="139" spans="1:13" ht="21" customHeight="1">
      <c r="A139" s="634"/>
      <c r="B139" s="630"/>
      <c r="C139" s="672"/>
      <c r="D139" s="693" t="s">
        <v>617</v>
      </c>
      <c r="E139" s="715"/>
      <c r="F139" s="673"/>
      <c r="G139" s="673"/>
      <c r="H139" s="672"/>
      <c r="I139" s="672"/>
      <c r="J139" s="672"/>
      <c r="K139" s="631"/>
      <c r="L139" s="631"/>
      <c r="M139" s="569"/>
    </row>
    <row r="140" spans="1:13" ht="16.5" customHeight="1">
      <c r="A140" s="855" t="s">
        <v>1129</v>
      </c>
      <c r="B140" s="856"/>
      <c r="C140" s="852" t="s">
        <v>85</v>
      </c>
      <c r="D140" s="852" t="s">
        <v>81</v>
      </c>
      <c r="E140" s="852" t="s">
        <v>82</v>
      </c>
      <c r="F140" s="852" t="s">
        <v>83</v>
      </c>
      <c r="G140" s="852" t="s">
        <v>84</v>
      </c>
      <c r="H140" s="852" t="s">
        <v>86</v>
      </c>
      <c r="I140" s="852" t="s">
        <v>1174</v>
      </c>
      <c r="J140" s="852" t="s">
        <v>1175</v>
      </c>
      <c r="K140" s="852" t="s">
        <v>242</v>
      </c>
      <c r="L140" s="852" t="s">
        <v>87</v>
      </c>
      <c r="M140" s="852" t="s">
        <v>1176</v>
      </c>
    </row>
    <row r="141" spans="1:13" ht="17.25" customHeight="1">
      <c r="A141" s="857"/>
      <c r="B141" s="858"/>
      <c r="C141" s="853"/>
      <c r="D141" s="853"/>
      <c r="E141" s="853"/>
      <c r="F141" s="853"/>
      <c r="G141" s="853"/>
      <c r="H141" s="853"/>
      <c r="I141" s="853"/>
      <c r="J141" s="853"/>
      <c r="K141" s="853"/>
      <c r="L141" s="853"/>
      <c r="M141" s="853"/>
    </row>
    <row r="142" spans="1:13" ht="21" customHeight="1">
      <c r="A142" s="859"/>
      <c r="B142" s="860"/>
      <c r="C142" s="854"/>
      <c r="D142" s="854"/>
      <c r="E142" s="854"/>
      <c r="F142" s="854"/>
      <c r="G142" s="854"/>
      <c r="H142" s="854"/>
      <c r="I142" s="854"/>
      <c r="J142" s="854"/>
      <c r="K142" s="854"/>
      <c r="L142" s="854"/>
      <c r="M142" s="854"/>
    </row>
    <row r="143" spans="1:13" ht="21.75">
      <c r="A143" s="655" t="s">
        <v>1157</v>
      </c>
      <c r="B143" s="545" t="s">
        <v>1271</v>
      </c>
      <c r="C143" s="570"/>
      <c r="D143" s="554" t="s">
        <v>447</v>
      </c>
      <c r="E143" s="598" t="s">
        <v>448</v>
      </c>
      <c r="F143" s="578"/>
      <c r="G143" s="578"/>
      <c r="H143" s="570"/>
      <c r="I143" s="570"/>
      <c r="J143" s="570"/>
      <c r="K143" s="589"/>
      <c r="L143" s="589"/>
      <c r="M143" s="637"/>
    </row>
    <row r="144" spans="1:13" ht="32.25" customHeight="1">
      <c r="A144" s="588"/>
      <c r="B144" s="635"/>
      <c r="C144" s="570"/>
      <c r="D144" s="554" t="s">
        <v>618</v>
      </c>
      <c r="E144" s="598"/>
      <c r="F144" s="578"/>
      <c r="G144" s="578"/>
      <c r="H144" s="570"/>
      <c r="I144" s="570"/>
      <c r="J144" s="570"/>
      <c r="K144" s="589"/>
      <c r="L144" s="633"/>
      <c r="M144" s="546"/>
    </row>
    <row r="145" spans="1:13" ht="24" customHeight="1">
      <c r="A145" s="588" t="s">
        <v>1158</v>
      </c>
      <c r="B145" s="545" t="s">
        <v>1269</v>
      </c>
      <c r="C145" s="547" t="s">
        <v>458</v>
      </c>
      <c r="D145" s="585" t="s">
        <v>270</v>
      </c>
      <c r="E145" s="547" t="s">
        <v>719</v>
      </c>
      <c r="F145" s="587">
        <v>532000</v>
      </c>
      <c r="G145" s="587">
        <v>532000</v>
      </c>
      <c r="H145" s="548" t="s">
        <v>1306</v>
      </c>
      <c r="I145" s="548">
        <v>782</v>
      </c>
      <c r="J145" s="547" t="s">
        <v>8</v>
      </c>
      <c r="K145" s="589"/>
      <c r="L145" s="633"/>
      <c r="M145" s="546"/>
    </row>
    <row r="146" spans="1:13" ht="32.25" customHeight="1">
      <c r="A146" s="588"/>
      <c r="B146" s="545"/>
      <c r="C146" s="547"/>
      <c r="D146" s="585" t="s">
        <v>446</v>
      </c>
      <c r="E146" s="547"/>
      <c r="F146" s="590"/>
      <c r="G146" s="590"/>
      <c r="H146" s="548"/>
      <c r="I146" s="548"/>
      <c r="J146" s="547"/>
      <c r="K146" s="546"/>
      <c r="L146" s="704"/>
      <c r="M146" s="547"/>
    </row>
    <row r="147" spans="1:13" ht="23.25" customHeight="1">
      <c r="A147" s="588"/>
      <c r="B147" s="589"/>
      <c r="C147" s="574"/>
      <c r="D147" s="585" t="s">
        <v>460</v>
      </c>
      <c r="E147" s="548"/>
      <c r="F147" s="562"/>
      <c r="G147" s="562"/>
      <c r="H147" s="548"/>
      <c r="I147" s="548"/>
      <c r="J147" s="547"/>
      <c r="K147" s="546"/>
      <c r="L147" s="561"/>
      <c r="M147" s="547"/>
    </row>
    <row r="148" spans="1:13" ht="29.25" customHeight="1">
      <c r="A148" s="588" t="s">
        <v>1159</v>
      </c>
      <c r="B148" s="589" t="s">
        <v>1003</v>
      </c>
      <c r="C148" s="547" t="s">
        <v>1004</v>
      </c>
      <c r="D148" s="545" t="s">
        <v>1005</v>
      </c>
      <c r="E148" s="548" t="s">
        <v>1007</v>
      </c>
      <c r="F148" s="562">
        <v>1586000</v>
      </c>
      <c r="G148" s="562">
        <v>1586000</v>
      </c>
      <c r="H148" s="548"/>
      <c r="I148" s="548"/>
      <c r="J148" s="547"/>
      <c r="K148" s="546"/>
      <c r="L148" s="561"/>
      <c r="M148" s="547"/>
    </row>
    <row r="149" spans="1:13" ht="32.25" customHeight="1">
      <c r="A149" s="588"/>
      <c r="B149" s="589"/>
      <c r="C149" s="548"/>
      <c r="D149" s="585" t="s">
        <v>1006</v>
      </c>
      <c r="E149" s="548"/>
      <c r="F149" s="562"/>
      <c r="G149" s="562"/>
      <c r="H149" s="548"/>
      <c r="I149" s="548"/>
      <c r="J149" s="547"/>
      <c r="K149" s="546"/>
      <c r="L149" s="546"/>
      <c r="M149" s="547"/>
    </row>
    <row r="150" spans="1:13" ht="21.75">
      <c r="A150" s="588"/>
      <c r="B150" s="635"/>
      <c r="C150" s="570"/>
      <c r="D150" s="554"/>
      <c r="E150" s="598"/>
      <c r="F150" s="578"/>
      <c r="G150" s="578"/>
      <c r="H150" s="570"/>
      <c r="I150" s="570"/>
      <c r="J150" s="636"/>
      <c r="K150" s="581"/>
      <c r="L150" s="581"/>
      <c r="M150" s="546"/>
    </row>
    <row r="151" spans="1:13" ht="21.75">
      <c r="A151" s="588"/>
      <c r="B151" s="545" t="s">
        <v>1033</v>
      </c>
      <c r="C151" s="570" t="s">
        <v>1274</v>
      </c>
      <c r="D151" s="554"/>
      <c r="E151" s="555"/>
      <c r="F151" s="562"/>
      <c r="G151" s="562"/>
      <c r="H151" s="548"/>
      <c r="I151" s="548"/>
      <c r="J151" s="633"/>
      <c r="K151" s="581"/>
      <c r="L151" s="581"/>
      <c r="M151" s="546"/>
    </row>
    <row r="152" spans="1:13" ht="39">
      <c r="A152" s="588" t="s">
        <v>1155</v>
      </c>
      <c r="B152" s="545" t="s">
        <v>1272</v>
      </c>
      <c r="C152" s="548" t="s">
        <v>1310</v>
      </c>
      <c r="D152" s="554" t="s">
        <v>238</v>
      </c>
      <c r="E152" s="586" t="s">
        <v>685</v>
      </c>
      <c r="F152" s="556">
        <v>47000</v>
      </c>
      <c r="G152" s="556">
        <f>F152*2</f>
        <v>94000</v>
      </c>
      <c r="H152" s="548" t="s">
        <v>1306</v>
      </c>
      <c r="I152" s="548" t="s">
        <v>237</v>
      </c>
      <c r="J152" s="548" t="s">
        <v>1312</v>
      </c>
      <c r="K152" s="558"/>
      <c r="L152" s="558"/>
      <c r="M152" s="546"/>
    </row>
    <row r="153" spans="1:13" ht="21.75">
      <c r="A153" s="588"/>
      <c r="B153" s="545"/>
      <c r="C153" s="548" t="s">
        <v>240</v>
      </c>
      <c r="D153" s="554" t="s">
        <v>1311</v>
      </c>
      <c r="E153" s="555" t="s">
        <v>695</v>
      </c>
      <c r="F153" s="556">
        <v>45903</v>
      </c>
      <c r="G153" s="556"/>
      <c r="H153" s="548" t="s">
        <v>1306</v>
      </c>
      <c r="I153" s="548" t="s">
        <v>241</v>
      </c>
      <c r="J153" s="548" t="s">
        <v>16</v>
      </c>
      <c r="K153" s="557">
        <v>91806</v>
      </c>
      <c r="L153" s="558" t="s">
        <v>489</v>
      </c>
      <c r="M153" s="546"/>
    </row>
    <row r="154" spans="1:13" ht="21.75">
      <c r="A154" s="588" t="s">
        <v>1156</v>
      </c>
      <c r="B154" s="545" t="s">
        <v>271</v>
      </c>
      <c r="C154" s="638" t="s">
        <v>117</v>
      </c>
      <c r="D154" s="554" t="s">
        <v>118</v>
      </c>
      <c r="E154" s="555" t="s">
        <v>700</v>
      </c>
      <c r="F154" s="556">
        <v>50000</v>
      </c>
      <c r="G154" s="556">
        <f>F154*1</f>
        <v>50000</v>
      </c>
      <c r="H154" s="548" t="s">
        <v>1178</v>
      </c>
      <c r="I154" s="548" t="s">
        <v>265</v>
      </c>
      <c r="J154" s="548" t="s">
        <v>119</v>
      </c>
      <c r="K154" s="558"/>
      <c r="L154" s="558"/>
      <c r="M154" s="546"/>
    </row>
    <row r="155" spans="1:13" ht="21.75">
      <c r="A155" s="588"/>
      <c r="B155" s="546"/>
      <c r="C155" s="570"/>
      <c r="D155" s="554" t="s">
        <v>272</v>
      </c>
      <c r="E155" s="570"/>
      <c r="F155" s="577"/>
      <c r="G155" s="577"/>
      <c r="H155" s="570"/>
      <c r="I155" s="570"/>
      <c r="J155" s="558"/>
      <c r="K155" s="558"/>
      <c r="L155" s="558"/>
      <c r="M155" s="546"/>
    </row>
    <row r="156" spans="1:13" ht="21.75">
      <c r="A156" s="588" t="s">
        <v>1157</v>
      </c>
      <c r="B156" s="545" t="s">
        <v>542</v>
      </c>
      <c r="C156" s="547" t="s">
        <v>541</v>
      </c>
      <c r="D156" s="545" t="s">
        <v>542</v>
      </c>
      <c r="E156" s="555" t="s">
        <v>1273</v>
      </c>
      <c r="F156" s="562">
        <v>61500</v>
      </c>
      <c r="G156" s="562">
        <v>61500</v>
      </c>
      <c r="H156" s="548" t="s">
        <v>1178</v>
      </c>
      <c r="I156" s="548">
        <v>654</v>
      </c>
      <c r="J156" s="589" t="s">
        <v>8</v>
      </c>
      <c r="K156" s="558"/>
      <c r="L156" s="558"/>
      <c r="M156" s="546"/>
    </row>
    <row r="157" spans="1:13" ht="21.75">
      <c r="A157" s="588" t="s">
        <v>1158</v>
      </c>
      <c r="B157" s="545" t="s">
        <v>999</v>
      </c>
      <c r="C157" s="547" t="s">
        <v>1001</v>
      </c>
      <c r="D157" s="545" t="s">
        <v>1000</v>
      </c>
      <c r="E157" s="555" t="s">
        <v>1002</v>
      </c>
      <c r="F157" s="562">
        <v>8500</v>
      </c>
      <c r="G157" s="562">
        <v>17000</v>
      </c>
      <c r="H157" s="548" t="s">
        <v>997</v>
      </c>
      <c r="I157" s="548"/>
      <c r="J157" s="589"/>
      <c r="K157" s="558"/>
      <c r="L157" s="558"/>
      <c r="M157" s="546"/>
    </row>
    <row r="158" spans="1:13" ht="21.75">
      <c r="A158" s="588"/>
      <c r="B158" s="545" t="s">
        <v>122</v>
      </c>
      <c r="C158" s="570"/>
      <c r="D158" s="554"/>
      <c r="E158" s="563"/>
      <c r="F158" s="577"/>
      <c r="G158" s="577"/>
      <c r="H158" s="570"/>
      <c r="I158" s="570"/>
      <c r="J158" s="570"/>
      <c r="K158" s="558"/>
      <c r="L158" s="558"/>
      <c r="M158" s="546"/>
    </row>
    <row r="159" spans="1:13" ht="27.75" customHeight="1">
      <c r="A159" s="588" t="s">
        <v>1155</v>
      </c>
      <c r="B159" s="545" t="s">
        <v>273</v>
      </c>
      <c r="C159" s="548" t="s">
        <v>1316</v>
      </c>
      <c r="D159" s="554" t="s">
        <v>1317</v>
      </c>
      <c r="E159" s="555" t="s">
        <v>687</v>
      </c>
      <c r="F159" s="556">
        <v>71500</v>
      </c>
      <c r="G159" s="556">
        <f>F159*1</f>
        <v>71500</v>
      </c>
      <c r="H159" s="548" t="s">
        <v>1306</v>
      </c>
      <c r="I159" s="548" t="s">
        <v>778</v>
      </c>
      <c r="J159" s="548" t="s">
        <v>1179</v>
      </c>
      <c r="K159" s="558"/>
      <c r="L159" s="558"/>
      <c r="M159" s="546"/>
    </row>
    <row r="160" spans="1:13" ht="30" customHeight="1">
      <c r="A160" s="588"/>
      <c r="B160" s="546"/>
      <c r="C160" s="548"/>
      <c r="D160" s="554" t="s">
        <v>1319</v>
      </c>
      <c r="E160" s="563"/>
      <c r="F160" s="577"/>
      <c r="G160" s="577"/>
      <c r="H160" s="570"/>
      <c r="I160" s="570"/>
      <c r="J160" s="558"/>
      <c r="K160" s="558"/>
      <c r="L160" s="558"/>
      <c r="M160" s="546"/>
    </row>
    <row r="161" spans="1:13" ht="34.5" customHeight="1">
      <c r="A161" s="634"/>
      <c r="B161" s="569"/>
      <c r="C161" s="564"/>
      <c r="D161" s="693" t="s">
        <v>239</v>
      </c>
      <c r="E161" s="772"/>
      <c r="F161" s="673"/>
      <c r="G161" s="673"/>
      <c r="H161" s="672"/>
      <c r="I161" s="672"/>
      <c r="J161" s="672"/>
      <c r="K161" s="619"/>
      <c r="L161" s="619"/>
      <c r="M161" s="569"/>
    </row>
    <row r="162" spans="1:13" ht="16.5" customHeight="1">
      <c r="A162" s="855" t="s">
        <v>1129</v>
      </c>
      <c r="B162" s="856"/>
      <c r="C162" s="852" t="s">
        <v>85</v>
      </c>
      <c r="D162" s="852" t="s">
        <v>81</v>
      </c>
      <c r="E162" s="852" t="s">
        <v>82</v>
      </c>
      <c r="F162" s="852" t="s">
        <v>83</v>
      </c>
      <c r="G162" s="852" t="s">
        <v>84</v>
      </c>
      <c r="H162" s="852" t="s">
        <v>86</v>
      </c>
      <c r="I162" s="852" t="s">
        <v>1174</v>
      </c>
      <c r="J162" s="852" t="s">
        <v>1175</v>
      </c>
      <c r="K162" s="852" t="s">
        <v>242</v>
      </c>
      <c r="L162" s="852" t="s">
        <v>87</v>
      </c>
      <c r="M162" s="852" t="s">
        <v>1176</v>
      </c>
    </row>
    <row r="163" spans="1:13" ht="17.25" customHeight="1">
      <c r="A163" s="857"/>
      <c r="B163" s="858"/>
      <c r="C163" s="853"/>
      <c r="D163" s="853"/>
      <c r="E163" s="853"/>
      <c r="F163" s="853"/>
      <c r="G163" s="853"/>
      <c r="H163" s="853"/>
      <c r="I163" s="853"/>
      <c r="J163" s="853"/>
      <c r="K163" s="853"/>
      <c r="L163" s="853"/>
      <c r="M163" s="853"/>
    </row>
    <row r="164" spans="1:13" ht="17.25" customHeight="1">
      <c r="A164" s="859"/>
      <c r="B164" s="860"/>
      <c r="C164" s="854"/>
      <c r="D164" s="854"/>
      <c r="E164" s="854"/>
      <c r="F164" s="854"/>
      <c r="G164" s="854"/>
      <c r="H164" s="854"/>
      <c r="I164" s="854"/>
      <c r="J164" s="854"/>
      <c r="K164" s="854"/>
      <c r="L164" s="854"/>
      <c r="M164" s="854"/>
    </row>
    <row r="165" spans="1:13" ht="21.75">
      <c r="A165" s="655"/>
      <c r="B165" s="545" t="s">
        <v>273</v>
      </c>
      <c r="C165" s="548" t="s">
        <v>103</v>
      </c>
      <c r="D165" s="554" t="s">
        <v>449</v>
      </c>
      <c r="E165" s="555" t="s">
        <v>697</v>
      </c>
      <c r="F165" s="556">
        <v>48950</v>
      </c>
      <c r="G165" s="556">
        <f>F165*1</f>
        <v>48950</v>
      </c>
      <c r="H165" s="548" t="s">
        <v>1178</v>
      </c>
      <c r="I165" s="548" t="s">
        <v>1259</v>
      </c>
      <c r="J165" s="548" t="s">
        <v>9</v>
      </c>
      <c r="K165" s="558"/>
      <c r="L165" s="558"/>
      <c r="M165" s="707"/>
    </row>
    <row r="166" spans="1:13" ht="21.75">
      <c r="A166" s="588"/>
      <c r="B166" s="546"/>
      <c r="C166" s="570"/>
      <c r="D166" s="554" t="s">
        <v>104</v>
      </c>
      <c r="E166" s="570"/>
      <c r="F166" s="577"/>
      <c r="G166" s="577"/>
      <c r="H166" s="570"/>
      <c r="I166" s="570"/>
      <c r="J166" s="558"/>
      <c r="K166" s="558"/>
      <c r="L166" s="558"/>
      <c r="M166" s="546"/>
    </row>
    <row r="167" spans="1:13" ht="21.75">
      <c r="A167" s="588"/>
      <c r="B167" s="546"/>
      <c r="C167" s="570"/>
      <c r="D167" s="554" t="s">
        <v>105</v>
      </c>
      <c r="E167" s="570"/>
      <c r="F167" s="578"/>
      <c r="G167" s="578"/>
      <c r="H167" s="570"/>
      <c r="I167" s="570"/>
      <c r="J167" s="570"/>
      <c r="K167" s="558"/>
      <c r="L167" s="558"/>
      <c r="M167" s="546"/>
    </row>
    <row r="168" spans="1:13" ht="21.75">
      <c r="A168" s="588"/>
      <c r="B168" s="545" t="s">
        <v>273</v>
      </c>
      <c r="C168" s="548" t="s">
        <v>123</v>
      </c>
      <c r="D168" s="554" t="s">
        <v>124</v>
      </c>
      <c r="E168" s="555" t="s">
        <v>708</v>
      </c>
      <c r="F168" s="556">
        <v>79500</v>
      </c>
      <c r="G168" s="556">
        <f>F168*1</f>
        <v>79500</v>
      </c>
      <c r="H168" s="548" t="s">
        <v>1126</v>
      </c>
      <c r="I168" s="548" t="s">
        <v>1126</v>
      </c>
      <c r="J168" s="548" t="s">
        <v>8</v>
      </c>
      <c r="K168" s="558"/>
      <c r="L168" s="558"/>
      <c r="M168" s="546"/>
    </row>
    <row r="169" spans="1:13" ht="21.75">
      <c r="A169" s="588"/>
      <c r="B169" s="652"/>
      <c r="C169" s="653"/>
      <c r="D169" s="644" t="s">
        <v>127</v>
      </c>
      <c r="E169" s="653"/>
      <c r="F169" s="726"/>
      <c r="G169" s="726"/>
      <c r="H169" s="653"/>
      <c r="I169" s="653"/>
      <c r="J169" s="652"/>
      <c r="K169" s="546"/>
      <c r="L169" s="558"/>
      <c r="M169" s="546"/>
    </row>
    <row r="170" spans="1:13" ht="21.75">
      <c r="A170" s="588"/>
      <c r="B170" s="545"/>
      <c r="C170" s="548"/>
      <c r="D170" s="554" t="s">
        <v>156</v>
      </c>
      <c r="E170" s="548"/>
      <c r="F170" s="556"/>
      <c r="G170" s="556"/>
      <c r="H170" s="548"/>
      <c r="I170" s="548"/>
      <c r="J170" s="548"/>
      <c r="K170" s="640"/>
      <c r="L170" s="558"/>
      <c r="M170" s="546"/>
    </row>
    <row r="171" spans="1:13" ht="18.75" customHeight="1">
      <c r="A171" s="588"/>
      <c r="B171" s="545"/>
      <c r="C171" s="548"/>
      <c r="D171" s="773" t="s">
        <v>128</v>
      </c>
      <c r="E171" s="548"/>
      <c r="F171" s="556"/>
      <c r="G171" s="556"/>
      <c r="H171" s="548"/>
      <c r="I171" s="548"/>
      <c r="J171" s="548"/>
      <c r="K171" s="640"/>
      <c r="L171" s="558"/>
      <c r="M171" s="546"/>
    </row>
    <row r="172" spans="1:13" ht="17.25" customHeight="1">
      <c r="A172" s="588"/>
      <c r="B172" s="545"/>
      <c r="C172" s="548"/>
      <c r="D172" s="773" t="s">
        <v>129</v>
      </c>
      <c r="E172" s="548"/>
      <c r="F172" s="556"/>
      <c r="G172" s="556"/>
      <c r="H172" s="548"/>
      <c r="I172" s="548"/>
      <c r="J172" s="548"/>
      <c r="K172" s="640"/>
      <c r="L172" s="561"/>
      <c r="M172" s="546"/>
    </row>
    <row r="173" spans="1:13" ht="21.75">
      <c r="A173" s="588"/>
      <c r="B173" s="545"/>
      <c r="C173" s="548"/>
      <c r="D173" s="773" t="s">
        <v>130</v>
      </c>
      <c r="E173" s="548"/>
      <c r="F173" s="556"/>
      <c r="G173" s="556"/>
      <c r="H173" s="548"/>
      <c r="I173" s="548"/>
      <c r="J173" s="548"/>
      <c r="K173" s="641"/>
      <c r="L173" s="468"/>
      <c r="M173" s="546"/>
    </row>
    <row r="174" spans="1:13" ht="21.75">
      <c r="A174" s="588"/>
      <c r="B174" s="545"/>
      <c r="C174" s="547"/>
      <c r="D174" s="774" t="s">
        <v>131</v>
      </c>
      <c r="E174" s="545"/>
      <c r="F174" s="545"/>
      <c r="G174" s="545"/>
      <c r="H174" s="545"/>
      <c r="I174" s="545"/>
      <c r="J174" s="545"/>
      <c r="K174" s="639"/>
      <c r="L174" s="546"/>
      <c r="M174" s="546"/>
    </row>
    <row r="175" spans="1:13" ht="21.75">
      <c r="A175" s="588"/>
      <c r="B175" s="545"/>
      <c r="C175" s="548"/>
      <c r="D175" s="773" t="s">
        <v>159</v>
      </c>
      <c r="E175" s="548"/>
      <c r="F175" s="556"/>
      <c r="G175" s="556"/>
      <c r="H175" s="548"/>
      <c r="I175" s="548"/>
      <c r="J175" s="548"/>
      <c r="K175" s="640"/>
      <c r="L175" s="561"/>
      <c r="M175" s="546"/>
    </row>
    <row r="176" spans="1:13" ht="21.75">
      <c r="A176" s="588"/>
      <c r="B176" s="545"/>
      <c r="C176" s="548"/>
      <c r="D176" s="773" t="s">
        <v>160</v>
      </c>
      <c r="E176" s="548"/>
      <c r="F176" s="556"/>
      <c r="G176" s="556"/>
      <c r="H176" s="548"/>
      <c r="I176" s="548"/>
      <c r="J176" s="548"/>
      <c r="K176" s="640"/>
      <c r="L176" s="561"/>
      <c r="M176" s="546"/>
    </row>
    <row r="177" spans="1:13" ht="21.75">
      <c r="A177" s="588"/>
      <c r="B177" s="545"/>
      <c r="C177" s="548"/>
      <c r="D177" s="775" t="s">
        <v>443</v>
      </c>
      <c r="E177" s="547"/>
      <c r="F177" s="556"/>
      <c r="G177" s="556"/>
      <c r="H177" s="548"/>
      <c r="I177" s="548"/>
      <c r="J177" s="548"/>
      <c r="K177" s="640"/>
      <c r="L177" s="558"/>
      <c r="M177" s="546"/>
    </row>
    <row r="178" spans="1:13" ht="21.75">
      <c r="A178" s="588"/>
      <c r="B178" s="545" t="s">
        <v>554</v>
      </c>
      <c r="C178" s="548" t="s">
        <v>147</v>
      </c>
      <c r="D178" s="776" t="s">
        <v>124</v>
      </c>
      <c r="E178" s="586" t="s">
        <v>706</v>
      </c>
      <c r="F178" s="556">
        <v>80500</v>
      </c>
      <c r="G178" s="556">
        <f>F178*1</f>
        <v>80500</v>
      </c>
      <c r="H178" s="548" t="s">
        <v>1178</v>
      </c>
      <c r="I178" s="548" t="s">
        <v>266</v>
      </c>
      <c r="J178" s="548" t="s">
        <v>1179</v>
      </c>
      <c r="K178" s="640"/>
      <c r="L178" s="558"/>
      <c r="M178" s="546"/>
    </row>
    <row r="179" spans="1:13" ht="21.75">
      <c r="A179" s="588"/>
      <c r="B179" s="546"/>
      <c r="C179" s="570"/>
      <c r="D179" s="554" t="s">
        <v>157</v>
      </c>
      <c r="E179" s="563"/>
      <c r="F179" s="577"/>
      <c r="G179" s="577"/>
      <c r="H179" s="570"/>
      <c r="I179" s="570"/>
      <c r="J179" s="558"/>
      <c r="K179" s="640"/>
      <c r="L179" s="558"/>
      <c r="M179" s="546"/>
    </row>
    <row r="180" spans="1:13" ht="21.75">
      <c r="A180" s="588"/>
      <c r="B180" s="546"/>
      <c r="C180" s="570"/>
      <c r="D180" s="773" t="s">
        <v>128</v>
      </c>
      <c r="E180" s="563"/>
      <c r="F180" s="578"/>
      <c r="G180" s="578"/>
      <c r="H180" s="570"/>
      <c r="I180" s="570"/>
      <c r="J180" s="570"/>
      <c r="K180" s="640"/>
      <c r="L180" s="558"/>
      <c r="M180" s="546"/>
    </row>
    <row r="181" spans="1:13" ht="21.75">
      <c r="A181" s="588"/>
      <c r="B181" s="546"/>
      <c r="C181" s="570"/>
      <c r="D181" s="773" t="s">
        <v>129</v>
      </c>
      <c r="E181" s="563"/>
      <c r="F181" s="578"/>
      <c r="G181" s="578"/>
      <c r="H181" s="570"/>
      <c r="I181" s="570"/>
      <c r="J181" s="570"/>
      <c r="K181" s="639"/>
      <c r="L181" s="558"/>
      <c r="M181" s="546"/>
    </row>
    <row r="182" spans="1:13" ht="21.75">
      <c r="A182" s="588"/>
      <c r="B182" s="546"/>
      <c r="C182" s="570"/>
      <c r="D182" s="773" t="s">
        <v>158</v>
      </c>
      <c r="E182" s="563"/>
      <c r="F182" s="578"/>
      <c r="G182" s="578"/>
      <c r="H182" s="570"/>
      <c r="I182" s="570"/>
      <c r="J182" s="570"/>
      <c r="K182" s="640"/>
      <c r="L182" s="558"/>
      <c r="M182" s="546"/>
    </row>
    <row r="183" spans="1:13" ht="21.75">
      <c r="A183" s="588"/>
      <c r="B183" s="546"/>
      <c r="C183" s="570"/>
      <c r="D183" s="773" t="s">
        <v>160</v>
      </c>
      <c r="E183" s="563"/>
      <c r="F183" s="578"/>
      <c r="G183" s="578"/>
      <c r="H183" s="570"/>
      <c r="I183" s="570"/>
      <c r="J183" s="570"/>
      <c r="K183" s="640"/>
      <c r="L183" s="558"/>
      <c r="M183" s="546"/>
    </row>
    <row r="184" spans="1:13" ht="21.75">
      <c r="A184" s="588"/>
      <c r="B184" s="546"/>
      <c r="C184" s="570"/>
      <c r="D184" s="773" t="s">
        <v>159</v>
      </c>
      <c r="E184" s="563"/>
      <c r="F184" s="578"/>
      <c r="G184" s="578"/>
      <c r="H184" s="570"/>
      <c r="I184" s="570"/>
      <c r="J184" s="570"/>
      <c r="K184" s="640"/>
      <c r="L184" s="558"/>
      <c r="M184" s="546"/>
    </row>
    <row r="185" spans="1:13" ht="21.75">
      <c r="A185" s="588"/>
      <c r="B185" s="546"/>
      <c r="C185" s="570"/>
      <c r="D185" s="554" t="s">
        <v>3</v>
      </c>
      <c r="E185" s="563"/>
      <c r="F185" s="578"/>
      <c r="G185" s="578"/>
      <c r="H185" s="570"/>
      <c r="I185" s="570"/>
      <c r="J185" s="636"/>
      <c r="K185" s="642"/>
      <c r="L185" s="581"/>
      <c r="M185" s="546"/>
    </row>
    <row r="186" spans="1:13" ht="21.75">
      <c r="A186" s="588"/>
      <c r="B186" s="546"/>
      <c r="C186" s="570"/>
      <c r="D186" s="554" t="s">
        <v>4</v>
      </c>
      <c r="E186" s="563"/>
      <c r="F186" s="578"/>
      <c r="G186" s="578"/>
      <c r="H186" s="570"/>
      <c r="I186" s="570"/>
      <c r="J186" s="636"/>
      <c r="K186" s="642"/>
      <c r="L186" s="581"/>
      <c r="M186" s="546"/>
    </row>
    <row r="187" spans="1:13" ht="21.75">
      <c r="A187" s="588"/>
      <c r="B187" s="545" t="s">
        <v>554</v>
      </c>
      <c r="C187" s="548" t="s">
        <v>348</v>
      </c>
      <c r="D187" s="554" t="s">
        <v>349</v>
      </c>
      <c r="E187" s="548" t="s">
        <v>715</v>
      </c>
      <c r="F187" s="556">
        <v>65000</v>
      </c>
      <c r="G187" s="556">
        <v>65000</v>
      </c>
      <c r="H187" s="548" t="s">
        <v>1306</v>
      </c>
      <c r="I187" s="548">
        <v>631</v>
      </c>
      <c r="J187" s="574" t="s">
        <v>1314</v>
      </c>
      <c r="K187" s="642"/>
      <c r="L187" s="581"/>
      <c r="M187" s="546"/>
    </row>
    <row r="188" spans="1:13" ht="21.75">
      <c r="A188" s="634"/>
      <c r="B188" s="630"/>
      <c r="C188" s="564"/>
      <c r="D188" s="630" t="s">
        <v>347</v>
      </c>
      <c r="E188" s="564"/>
      <c r="F188" s="677"/>
      <c r="G188" s="677"/>
      <c r="H188" s="564"/>
      <c r="I188" s="564"/>
      <c r="J188" s="661"/>
      <c r="K188" s="717"/>
      <c r="L188" s="718"/>
      <c r="M188" s="569"/>
    </row>
    <row r="189" spans="1:13" ht="18.75" customHeight="1">
      <c r="A189" s="855" t="s">
        <v>1129</v>
      </c>
      <c r="B189" s="856"/>
      <c r="C189" s="852" t="s">
        <v>85</v>
      </c>
      <c r="D189" s="852" t="s">
        <v>81</v>
      </c>
      <c r="E189" s="852" t="s">
        <v>82</v>
      </c>
      <c r="F189" s="852" t="s">
        <v>83</v>
      </c>
      <c r="G189" s="852" t="s">
        <v>84</v>
      </c>
      <c r="H189" s="852" t="s">
        <v>86</v>
      </c>
      <c r="I189" s="852" t="s">
        <v>1174</v>
      </c>
      <c r="J189" s="852" t="s">
        <v>1175</v>
      </c>
      <c r="K189" s="852" t="s">
        <v>242</v>
      </c>
      <c r="L189" s="852" t="s">
        <v>87</v>
      </c>
      <c r="M189" s="852" t="s">
        <v>1176</v>
      </c>
    </row>
    <row r="190" spans="1:13" ht="14.25" customHeight="1">
      <c r="A190" s="857"/>
      <c r="B190" s="858"/>
      <c r="C190" s="853"/>
      <c r="D190" s="853"/>
      <c r="E190" s="853"/>
      <c r="F190" s="853"/>
      <c r="G190" s="853"/>
      <c r="H190" s="853"/>
      <c r="I190" s="853"/>
      <c r="J190" s="853"/>
      <c r="K190" s="853"/>
      <c r="L190" s="853"/>
      <c r="M190" s="853"/>
    </row>
    <row r="191" spans="1:13" ht="15.75" customHeight="1">
      <c r="A191" s="859"/>
      <c r="B191" s="860"/>
      <c r="C191" s="854"/>
      <c r="D191" s="854"/>
      <c r="E191" s="854"/>
      <c r="F191" s="854"/>
      <c r="G191" s="854"/>
      <c r="H191" s="854"/>
      <c r="I191" s="854"/>
      <c r="J191" s="854"/>
      <c r="K191" s="854"/>
      <c r="L191" s="854"/>
      <c r="M191" s="854"/>
    </row>
    <row r="192" spans="1:13" ht="21.75">
      <c r="A192" s="655"/>
      <c r="B192" s="545"/>
      <c r="C192" s="548" t="s">
        <v>350</v>
      </c>
      <c r="D192" s="554" t="s">
        <v>349</v>
      </c>
      <c r="E192" s="555"/>
      <c r="F192" s="556">
        <v>31666</v>
      </c>
      <c r="G192" s="556">
        <v>95000</v>
      </c>
      <c r="H192" s="548" t="s">
        <v>1306</v>
      </c>
      <c r="I192" s="548">
        <v>628</v>
      </c>
      <c r="J192" s="574" t="s">
        <v>8</v>
      </c>
      <c r="K192" s="642"/>
      <c r="L192" s="637"/>
      <c r="M192" s="637"/>
    </row>
    <row r="193" spans="1:13" ht="18" customHeight="1">
      <c r="A193" s="588"/>
      <c r="B193" s="545"/>
      <c r="C193" s="548"/>
      <c r="D193" s="554"/>
      <c r="E193" s="548"/>
      <c r="F193" s="556">
        <v>31666.66</v>
      </c>
      <c r="G193" s="556"/>
      <c r="H193" s="548"/>
      <c r="I193" s="548">
        <v>630</v>
      </c>
      <c r="J193" s="548" t="s">
        <v>9</v>
      </c>
      <c r="K193" s="640"/>
      <c r="L193" s="225"/>
      <c r="M193" s="546"/>
    </row>
    <row r="194" spans="1:13" ht="21.75">
      <c r="A194" s="588"/>
      <c r="B194" s="545"/>
      <c r="C194" s="548"/>
      <c r="D194" s="554"/>
      <c r="E194" s="548"/>
      <c r="F194" s="556">
        <v>31666.66</v>
      </c>
      <c r="G194" s="556"/>
      <c r="H194" s="548"/>
      <c r="I194" s="548">
        <v>629</v>
      </c>
      <c r="J194" s="548" t="s">
        <v>8</v>
      </c>
      <c r="K194" s="640"/>
      <c r="L194" s="546"/>
      <c r="M194" s="546"/>
    </row>
    <row r="195" spans="1:13" ht="21.75">
      <c r="A195" s="588"/>
      <c r="B195" s="595" t="s">
        <v>274</v>
      </c>
      <c r="C195" s="591" t="s">
        <v>553</v>
      </c>
      <c r="D195" s="592" t="s">
        <v>554</v>
      </c>
      <c r="E195" s="595" t="s">
        <v>555</v>
      </c>
      <c r="F195" s="777">
        <v>20700</v>
      </c>
      <c r="G195" s="594">
        <f>20700</f>
        <v>20700</v>
      </c>
      <c r="H195" s="591" t="s">
        <v>1306</v>
      </c>
      <c r="I195" s="591">
        <v>540</v>
      </c>
      <c r="J195" s="591" t="s">
        <v>9</v>
      </c>
      <c r="K195" s="558"/>
      <c r="L195" s="546"/>
      <c r="M195" s="546"/>
    </row>
    <row r="196" spans="1:13" ht="21.75">
      <c r="A196" s="588"/>
      <c r="B196" s="595" t="s">
        <v>274</v>
      </c>
      <c r="C196" s="591" t="s">
        <v>653</v>
      </c>
      <c r="D196" s="592" t="s">
        <v>651</v>
      </c>
      <c r="E196" s="591" t="s">
        <v>654</v>
      </c>
      <c r="F196" s="727">
        <v>38000</v>
      </c>
      <c r="G196" s="594">
        <v>38000</v>
      </c>
      <c r="H196" s="591" t="s">
        <v>1306</v>
      </c>
      <c r="I196" s="591">
        <v>540</v>
      </c>
      <c r="J196" s="591" t="s">
        <v>495</v>
      </c>
      <c r="K196" s="558"/>
      <c r="L196" s="546"/>
      <c r="M196" s="546"/>
    </row>
    <row r="197" spans="1:13" ht="21.75">
      <c r="A197" s="588"/>
      <c r="B197" s="600"/>
      <c r="C197" s="596"/>
      <c r="D197" s="597" t="s">
        <v>652</v>
      </c>
      <c r="E197" s="600"/>
      <c r="F197" s="728"/>
      <c r="G197" s="599"/>
      <c r="H197" s="596"/>
      <c r="I197" s="596"/>
      <c r="J197" s="596"/>
      <c r="K197" s="558"/>
      <c r="L197" s="558"/>
      <c r="M197" s="546"/>
    </row>
    <row r="198" spans="1:13" ht="18" customHeight="1">
      <c r="A198" s="588"/>
      <c r="B198" s="595" t="s">
        <v>274</v>
      </c>
      <c r="C198" s="591" t="s">
        <v>667</v>
      </c>
      <c r="D198" s="592" t="s">
        <v>651</v>
      </c>
      <c r="E198" s="607" t="s">
        <v>650</v>
      </c>
      <c r="F198" s="727">
        <v>60000</v>
      </c>
      <c r="G198" s="727">
        <v>60000</v>
      </c>
      <c r="H198" s="591" t="s">
        <v>1306</v>
      </c>
      <c r="I198" s="591">
        <v>540</v>
      </c>
      <c r="J198" s="591" t="s">
        <v>495</v>
      </c>
      <c r="K198" s="558"/>
      <c r="L198" s="546"/>
      <c r="M198" s="546"/>
    </row>
    <row r="199" spans="1:13" ht="18" customHeight="1">
      <c r="A199" s="588"/>
      <c r="B199" s="573"/>
      <c r="C199" s="627"/>
      <c r="D199" s="623" t="s">
        <v>652</v>
      </c>
      <c r="E199" s="573"/>
      <c r="F199" s="778"/>
      <c r="G199" s="681"/>
      <c r="H199" s="627"/>
      <c r="I199" s="627"/>
      <c r="J199" s="627"/>
      <c r="K199" s="546"/>
      <c r="L199" s="546"/>
      <c r="M199" s="546"/>
    </row>
    <row r="200" spans="1:13" ht="18.75" customHeight="1">
      <c r="A200" s="588" t="s">
        <v>1156</v>
      </c>
      <c r="B200" s="595" t="s">
        <v>274</v>
      </c>
      <c r="C200" s="591" t="s">
        <v>243</v>
      </c>
      <c r="D200" s="592" t="s">
        <v>1043</v>
      </c>
      <c r="E200" s="595" t="s">
        <v>555</v>
      </c>
      <c r="F200" s="594">
        <v>38000</v>
      </c>
      <c r="G200" s="594">
        <v>76000</v>
      </c>
      <c r="H200" s="591" t="s">
        <v>1306</v>
      </c>
      <c r="I200" s="591">
        <v>539</v>
      </c>
      <c r="J200" s="591" t="s">
        <v>1313</v>
      </c>
      <c r="K200" s="558"/>
      <c r="L200" s="546"/>
      <c r="M200" s="546"/>
    </row>
    <row r="201" spans="1:13" ht="21" customHeight="1">
      <c r="A201" s="588"/>
      <c r="B201" s="595" t="s">
        <v>274</v>
      </c>
      <c r="C201" s="591" t="s">
        <v>738</v>
      </c>
      <c r="D201" s="592" t="s">
        <v>1043</v>
      </c>
      <c r="E201" s="596" t="s">
        <v>739</v>
      </c>
      <c r="F201" s="727">
        <v>45300</v>
      </c>
      <c r="G201" s="594">
        <v>45300</v>
      </c>
      <c r="H201" s="591" t="s">
        <v>1178</v>
      </c>
      <c r="I201" s="591">
        <v>858</v>
      </c>
      <c r="J201" s="591" t="s">
        <v>1314</v>
      </c>
      <c r="K201" s="558"/>
      <c r="L201" s="546"/>
      <c r="M201" s="546"/>
    </row>
    <row r="202" spans="1:13" ht="20.25" customHeight="1">
      <c r="A202" s="588" t="s">
        <v>1157</v>
      </c>
      <c r="B202" s="595" t="s">
        <v>274</v>
      </c>
      <c r="C202" s="547" t="s">
        <v>452</v>
      </c>
      <c r="D202" s="585" t="s">
        <v>457</v>
      </c>
      <c r="E202" s="547" t="s">
        <v>719</v>
      </c>
      <c r="F202" s="590">
        <v>13000</v>
      </c>
      <c r="G202" s="590">
        <v>26000</v>
      </c>
      <c r="H202" s="548" t="s">
        <v>1178</v>
      </c>
      <c r="I202" s="548">
        <v>186</v>
      </c>
      <c r="J202" s="547" t="s">
        <v>8</v>
      </c>
      <c r="K202" s="558"/>
      <c r="L202" s="546"/>
      <c r="M202" s="546"/>
    </row>
    <row r="203" spans="1:13" ht="20.25" customHeight="1">
      <c r="A203" s="588" t="s">
        <v>1158</v>
      </c>
      <c r="B203" s="595" t="s">
        <v>274</v>
      </c>
      <c r="C203" s="591" t="s">
        <v>666</v>
      </c>
      <c r="D203" s="592" t="s">
        <v>740</v>
      </c>
      <c r="E203" s="596" t="s">
        <v>739</v>
      </c>
      <c r="F203" s="727">
        <v>3200</v>
      </c>
      <c r="G203" s="594">
        <v>3200</v>
      </c>
      <c r="H203" s="591" t="s">
        <v>1178</v>
      </c>
      <c r="I203" s="591">
        <v>858</v>
      </c>
      <c r="J203" s="591" t="s">
        <v>1314</v>
      </c>
      <c r="K203" s="558"/>
      <c r="L203" s="546"/>
      <c r="M203" s="546"/>
    </row>
    <row r="204" spans="1:13" ht="24" customHeight="1">
      <c r="A204" s="588"/>
      <c r="B204" s="595" t="s">
        <v>274</v>
      </c>
      <c r="C204" s="591" t="s">
        <v>1119</v>
      </c>
      <c r="D204" s="592" t="s">
        <v>1278</v>
      </c>
      <c r="E204" s="596" t="s">
        <v>739</v>
      </c>
      <c r="F204" s="727">
        <v>3200</v>
      </c>
      <c r="G204" s="594">
        <v>3300</v>
      </c>
      <c r="H204" s="591" t="s">
        <v>1178</v>
      </c>
      <c r="I204" s="591">
        <v>858</v>
      </c>
      <c r="J204" s="591" t="s">
        <v>1314</v>
      </c>
      <c r="K204" s="558"/>
      <c r="L204" s="546"/>
      <c r="M204" s="546"/>
    </row>
    <row r="205" spans="1:13" ht="21.75">
      <c r="A205" s="588" t="s">
        <v>1159</v>
      </c>
      <c r="B205" s="595" t="s">
        <v>274</v>
      </c>
      <c r="C205" s="591" t="s">
        <v>667</v>
      </c>
      <c r="D205" s="592" t="s">
        <v>651</v>
      </c>
      <c r="E205" s="596" t="s">
        <v>993</v>
      </c>
      <c r="F205" s="728">
        <v>34000</v>
      </c>
      <c r="G205" s="599">
        <v>34000</v>
      </c>
      <c r="H205" s="591" t="s">
        <v>1178</v>
      </c>
      <c r="I205" s="596" t="s">
        <v>994</v>
      </c>
      <c r="J205" s="596" t="s">
        <v>9</v>
      </c>
      <c r="K205" s="558"/>
      <c r="L205" s="546"/>
      <c r="M205" s="546"/>
    </row>
    <row r="206" spans="1:13" ht="18.75" customHeight="1">
      <c r="A206" s="588"/>
      <c r="B206" s="573"/>
      <c r="C206" s="627"/>
      <c r="D206" s="592" t="s">
        <v>995</v>
      </c>
      <c r="E206" s="596"/>
      <c r="F206" s="728"/>
      <c r="G206" s="599"/>
      <c r="H206" s="596"/>
      <c r="I206" s="596"/>
      <c r="J206" s="596"/>
      <c r="K206" s="558"/>
      <c r="L206" s="546"/>
      <c r="M206" s="546"/>
    </row>
    <row r="207" spans="1:13" ht="18" customHeight="1">
      <c r="A207" s="588" t="s">
        <v>1161</v>
      </c>
      <c r="B207" s="595" t="s">
        <v>274</v>
      </c>
      <c r="C207" s="591" t="s">
        <v>1119</v>
      </c>
      <c r="D207" s="592" t="s">
        <v>1278</v>
      </c>
      <c r="E207" s="596" t="s">
        <v>996</v>
      </c>
      <c r="F207" s="728">
        <v>4500</v>
      </c>
      <c r="G207" s="728">
        <v>4500</v>
      </c>
      <c r="H207" s="596" t="s">
        <v>997</v>
      </c>
      <c r="I207" s="596"/>
      <c r="J207" s="596"/>
      <c r="K207" s="558"/>
      <c r="L207" s="546"/>
      <c r="M207" s="546"/>
    </row>
    <row r="208" spans="1:13" ht="18" customHeight="1">
      <c r="A208" s="588"/>
      <c r="B208" s="573" t="s">
        <v>1034</v>
      </c>
      <c r="C208" s="627"/>
      <c r="D208" s="592"/>
      <c r="E208" s="596"/>
      <c r="F208" s="728"/>
      <c r="G208" s="599"/>
      <c r="H208" s="779"/>
      <c r="I208" s="596"/>
      <c r="J208" s="596"/>
      <c r="K208" s="558"/>
      <c r="L208" s="546"/>
      <c r="M208" s="546"/>
    </row>
    <row r="209" spans="1:13" ht="21.75">
      <c r="A209" s="588" t="s">
        <v>1155</v>
      </c>
      <c r="B209" s="545" t="s">
        <v>275</v>
      </c>
      <c r="C209" s="548" t="s">
        <v>11</v>
      </c>
      <c r="D209" s="554" t="s">
        <v>12</v>
      </c>
      <c r="E209" s="555" t="s">
        <v>693</v>
      </c>
      <c r="F209" s="556">
        <v>7500</v>
      </c>
      <c r="G209" s="556">
        <f>F209*1</f>
        <v>7500</v>
      </c>
      <c r="H209" s="548" t="s">
        <v>1178</v>
      </c>
      <c r="I209" s="548" t="s">
        <v>251</v>
      </c>
      <c r="J209" s="548" t="s">
        <v>1314</v>
      </c>
      <c r="K209" s="558"/>
      <c r="L209" s="546"/>
      <c r="M209" s="546"/>
    </row>
    <row r="210" spans="1:13" ht="15.75" customHeight="1">
      <c r="A210" s="588"/>
      <c r="B210" s="546"/>
      <c r="C210" s="570"/>
      <c r="D210" s="554" t="s">
        <v>13</v>
      </c>
      <c r="E210" s="563"/>
      <c r="F210" s="577"/>
      <c r="G210" s="577"/>
      <c r="H210" s="570"/>
      <c r="I210" s="570"/>
      <c r="J210" s="570"/>
      <c r="K210" s="558"/>
      <c r="L210" s="546"/>
      <c r="M210" s="546"/>
    </row>
    <row r="211" spans="1:13" ht="21.75">
      <c r="A211" s="588"/>
      <c r="B211" s="546"/>
      <c r="C211" s="570"/>
      <c r="D211" s="554" t="s">
        <v>14</v>
      </c>
      <c r="E211" s="563"/>
      <c r="F211" s="578"/>
      <c r="G211" s="578"/>
      <c r="H211" s="570"/>
      <c r="I211" s="570"/>
      <c r="J211" s="570"/>
      <c r="K211" s="558"/>
      <c r="L211" s="546"/>
      <c r="M211" s="546"/>
    </row>
    <row r="212" spans="1:13" ht="19.5" customHeight="1">
      <c r="A212" s="588" t="s">
        <v>1156</v>
      </c>
      <c r="B212" s="545" t="s">
        <v>276</v>
      </c>
      <c r="C212" s="548" t="s">
        <v>176</v>
      </c>
      <c r="D212" s="554" t="s">
        <v>143</v>
      </c>
      <c r="E212" s="555" t="s">
        <v>703</v>
      </c>
      <c r="F212" s="556">
        <v>27000</v>
      </c>
      <c r="G212" s="556">
        <f>F212*1</f>
        <v>27000</v>
      </c>
      <c r="H212" s="548" t="s">
        <v>1178</v>
      </c>
      <c r="I212" s="548" t="s">
        <v>264</v>
      </c>
      <c r="J212" s="548" t="s">
        <v>1314</v>
      </c>
      <c r="K212" s="558"/>
      <c r="L212" s="546"/>
      <c r="M212" s="546"/>
    </row>
    <row r="213" spans="1:13" ht="21.75">
      <c r="A213" s="588"/>
      <c r="B213" s="546" t="s">
        <v>142</v>
      </c>
      <c r="C213" s="548" t="s">
        <v>177</v>
      </c>
      <c r="D213" s="554" t="s">
        <v>144</v>
      </c>
      <c r="E213" s="570"/>
      <c r="F213" s="577"/>
      <c r="G213" s="577"/>
      <c r="H213" s="570"/>
      <c r="I213" s="548"/>
      <c r="J213" s="548"/>
      <c r="K213" s="558"/>
      <c r="L213" s="558"/>
      <c r="M213" s="546"/>
    </row>
    <row r="214" spans="1:13" ht="17.25" customHeight="1">
      <c r="A214" s="588"/>
      <c r="B214" s="546"/>
      <c r="C214" s="570"/>
      <c r="D214" s="554" t="s">
        <v>442</v>
      </c>
      <c r="E214" s="570"/>
      <c r="F214" s="578"/>
      <c r="G214" s="578"/>
      <c r="H214" s="570"/>
      <c r="I214" s="570"/>
      <c r="J214" s="570"/>
      <c r="K214" s="558"/>
      <c r="L214" s="558"/>
      <c r="M214" s="546"/>
    </row>
    <row r="215" spans="1:13" ht="21.75">
      <c r="A215" s="588"/>
      <c r="B215" s="581"/>
      <c r="C215" s="643"/>
      <c r="D215" s="644" t="s">
        <v>145</v>
      </c>
      <c r="E215" s="643"/>
      <c r="F215" s="645"/>
      <c r="G215" s="645"/>
      <c r="H215" s="643"/>
      <c r="I215" s="643"/>
      <c r="J215" s="646"/>
      <c r="K215" s="558"/>
      <c r="L215" s="558"/>
      <c r="M215" s="546"/>
    </row>
    <row r="216" spans="1:13" ht="18.75" customHeight="1">
      <c r="A216" s="634" t="s">
        <v>1157</v>
      </c>
      <c r="B216" s="617" t="s">
        <v>277</v>
      </c>
      <c r="C216" s="618" t="s">
        <v>550</v>
      </c>
      <c r="D216" s="628" t="s">
        <v>551</v>
      </c>
      <c r="E216" s="710" t="s">
        <v>552</v>
      </c>
      <c r="F216" s="684">
        <v>1500</v>
      </c>
      <c r="G216" s="629">
        <v>1500</v>
      </c>
      <c r="H216" s="618" t="s">
        <v>1178</v>
      </c>
      <c r="I216" s="618">
        <v>232</v>
      </c>
      <c r="J216" s="618" t="s">
        <v>1314</v>
      </c>
      <c r="K216" s="619"/>
      <c r="L216" s="619"/>
      <c r="M216" s="569"/>
    </row>
    <row r="217" spans="1:13" ht="18.75" customHeight="1">
      <c r="A217" s="855" t="s">
        <v>1129</v>
      </c>
      <c r="B217" s="856"/>
      <c r="C217" s="852" t="s">
        <v>85</v>
      </c>
      <c r="D217" s="852" t="s">
        <v>81</v>
      </c>
      <c r="E217" s="852" t="s">
        <v>82</v>
      </c>
      <c r="F217" s="852" t="s">
        <v>83</v>
      </c>
      <c r="G217" s="852" t="s">
        <v>84</v>
      </c>
      <c r="H217" s="852" t="s">
        <v>86</v>
      </c>
      <c r="I217" s="852" t="s">
        <v>1174</v>
      </c>
      <c r="J217" s="852" t="s">
        <v>1175</v>
      </c>
      <c r="K217" s="852" t="s">
        <v>242</v>
      </c>
      <c r="L217" s="852" t="s">
        <v>87</v>
      </c>
      <c r="M217" s="852" t="s">
        <v>1176</v>
      </c>
    </row>
    <row r="218" spans="1:13" ht="15" customHeight="1">
      <c r="A218" s="857"/>
      <c r="B218" s="858"/>
      <c r="C218" s="853"/>
      <c r="D218" s="853"/>
      <c r="E218" s="853"/>
      <c r="F218" s="853"/>
      <c r="G218" s="853"/>
      <c r="H218" s="853"/>
      <c r="I218" s="853"/>
      <c r="J218" s="853"/>
      <c r="K218" s="853"/>
      <c r="L218" s="853"/>
      <c r="M218" s="853"/>
    </row>
    <row r="219" spans="1:13" ht="14.25" customHeight="1">
      <c r="A219" s="859"/>
      <c r="B219" s="860"/>
      <c r="C219" s="854"/>
      <c r="D219" s="854"/>
      <c r="E219" s="854"/>
      <c r="F219" s="854"/>
      <c r="G219" s="854"/>
      <c r="H219" s="854"/>
      <c r="I219" s="854"/>
      <c r="J219" s="854"/>
      <c r="K219" s="854"/>
      <c r="L219" s="854"/>
      <c r="M219" s="854"/>
    </row>
    <row r="220" spans="1:13" ht="19.5" customHeight="1">
      <c r="A220" s="655"/>
      <c r="B220" s="546" t="s">
        <v>1281</v>
      </c>
      <c r="C220" s="570"/>
      <c r="D220" s="554"/>
      <c r="E220" s="563"/>
      <c r="F220" s="578"/>
      <c r="G220" s="578"/>
      <c r="H220" s="570"/>
      <c r="I220" s="570"/>
      <c r="J220" s="570"/>
      <c r="K220" s="558"/>
      <c r="L220" s="558"/>
      <c r="M220" s="546"/>
    </row>
    <row r="221" spans="1:13" ht="26.25" customHeight="1">
      <c r="A221" s="588" t="s">
        <v>1155</v>
      </c>
      <c r="B221" s="595" t="s">
        <v>278</v>
      </c>
      <c r="C221" s="591" t="s">
        <v>543</v>
      </c>
      <c r="D221" s="592" t="s">
        <v>544</v>
      </c>
      <c r="E221" s="607" t="s">
        <v>545</v>
      </c>
      <c r="F221" s="594">
        <v>5500</v>
      </c>
      <c r="G221" s="648">
        <v>12000</v>
      </c>
      <c r="H221" s="609" t="s">
        <v>1178</v>
      </c>
      <c r="I221" s="591">
        <v>231</v>
      </c>
      <c r="J221" s="588" t="s">
        <v>1314</v>
      </c>
      <c r="K221" s="558"/>
      <c r="L221" s="558"/>
      <c r="M221" s="546"/>
    </row>
    <row r="222" spans="1:13" ht="19.5" customHeight="1">
      <c r="A222" s="588"/>
      <c r="B222" s="595"/>
      <c r="C222" s="596"/>
      <c r="D222" s="597" t="s">
        <v>547</v>
      </c>
      <c r="E222" s="615"/>
      <c r="F222" s="647"/>
      <c r="G222" s="648"/>
      <c r="H222" s="611"/>
      <c r="I222" s="611"/>
      <c r="J222" s="584"/>
      <c r="K222" s="558"/>
      <c r="L222" s="546"/>
      <c r="M222" s="546"/>
    </row>
    <row r="223" spans="1:14" ht="16.5" customHeight="1">
      <c r="A223" s="588"/>
      <c r="B223" s="595"/>
      <c r="C223" s="596" t="s">
        <v>548</v>
      </c>
      <c r="D223" s="597" t="s">
        <v>549</v>
      </c>
      <c r="E223" s="615" t="s">
        <v>545</v>
      </c>
      <c r="F223" s="647">
        <v>6500</v>
      </c>
      <c r="G223" s="648"/>
      <c r="H223" s="611"/>
      <c r="I223" s="611"/>
      <c r="J223" s="584"/>
      <c r="K223" s="558"/>
      <c r="L223" s="558"/>
      <c r="M223" s="225"/>
      <c r="N223" s="856"/>
    </row>
    <row r="224" spans="1:14" ht="18.75" customHeight="1">
      <c r="A224" s="588" t="s">
        <v>1156</v>
      </c>
      <c r="B224" s="592" t="s">
        <v>734</v>
      </c>
      <c r="C224" s="616" t="s">
        <v>733</v>
      </c>
      <c r="D224" s="592" t="s">
        <v>734</v>
      </c>
      <c r="E224" s="596" t="s">
        <v>736</v>
      </c>
      <c r="F224" s="594">
        <v>2500</v>
      </c>
      <c r="G224" s="610">
        <v>2500</v>
      </c>
      <c r="H224" s="611" t="s">
        <v>1178</v>
      </c>
      <c r="I224" s="591">
        <v>241</v>
      </c>
      <c r="J224" s="591" t="s">
        <v>1314</v>
      </c>
      <c r="K224" s="558"/>
      <c r="L224" s="558"/>
      <c r="M224" s="225"/>
      <c r="N224" s="858"/>
    </row>
    <row r="225" spans="1:14" ht="21.75">
      <c r="A225" s="588"/>
      <c r="B225" s="614"/>
      <c r="C225" s="591"/>
      <c r="D225" s="592" t="s">
        <v>735</v>
      </c>
      <c r="E225" s="591"/>
      <c r="F225" s="594"/>
      <c r="G225" s="610"/>
      <c r="H225" s="609"/>
      <c r="I225" s="591"/>
      <c r="J225" s="591"/>
      <c r="K225" s="546"/>
      <c r="L225" s="546"/>
      <c r="M225" s="225"/>
      <c r="N225" s="860"/>
    </row>
    <row r="226" spans="1:13" ht="32.25" customHeight="1">
      <c r="A226" s="588"/>
      <c r="B226" s="545" t="s">
        <v>1036</v>
      </c>
      <c r="C226" s="596"/>
      <c r="D226" s="597"/>
      <c r="E226" s="596"/>
      <c r="F226" s="599"/>
      <c r="G226" s="648"/>
      <c r="H226" s="611"/>
      <c r="I226" s="596"/>
      <c r="J226" s="596"/>
      <c r="K226" s="650"/>
      <c r="L226" s="558"/>
      <c r="M226" s="546"/>
    </row>
    <row r="227" spans="1:13" ht="23.25" customHeight="1">
      <c r="A227" s="588" t="s">
        <v>1155</v>
      </c>
      <c r="B227" s="545" t="s">
        <v>88</v>
      </c>
      <c r="C227" s="547" t="s">
        <v>1031</v>
      </c>
      <c r="D227" s="597" t="s">
        <v>333</v>
      </c>
      <c r="E227" s="596" t="s">
        <v>677</v>
      </c>
      <c r="F227" s="599">
        <v>11000</v>
      </c>
      <c r="G227" s="599"/>
      <c r="H227" s="548" t="s">
        <v>1178</v>
      </c>
      <c r="I227" s="596" t="s">
        <v>334</v>
      </c>
      <c r="J227" s="596" t="s">
        <v>1179</v>
      </c>
      <c r="K227" s="557">
        <v>11000</v>
      </c>
      <c r="L227" s="558" t="s">
        <v>1028</v>
      </c>
      <c r="M227" s="546"/>
    </row>
    <row r="228" spans="1:13" ht="26.25" customHeight="1">
      <c r="A228" s="588"/>
      <c r="B228" s="545" t="s">
        <v>88</v>
      </c>
      <c r="C228" s="547" t="s">
        <v>281</v>
      </c>
      <c r="D228" s="585" t="s">
        <v>670</v>
      </c>
      <c r="E228" s="547" t="s">
        <v>512</v>
      </c>
      <c r="F228" s="587">
        <v>4990</v>
      </c>
      <c r="G228" s="724">
        <v>4990</v>
      </c>
      <c r="H228" s="548" t="s">
        <v>1178</v>
      </c>
      <c r="I228" s="548">
        <v>423</v>
      </c>
      <c r="J228" s="596"/>
      <c r="K228" s="651"/>
      <c r="L228" s="558"/>
      <c r="M228" s="546"/>
    </row>
    <row r="229" spans="1:13" ht="16.5" customHeight="1">
      <c r="A229" s="588" t="s">
        <v>1156</v>
      </c>
      <c r="B229" s="545" t="s">
        <v>1267</v>
      </c>
      <c r="C229" s="548" t="s">
        <v>1186</v>
      </c>
      <c r="D229" s="554" t="s">
        <v>513</v>
      </c>
      <c r="E229" s="555" t="s">
        <v>677</v>
      </c>
      <c r="F229" s="556">
        <v>6500</v>
      </c>
      <c r="G229" s="556"/>
      <c r="H229" s="548" t="s">
        <v>1178</v>
      </c>
      <c r="I229" s="548" t="s">
        <v>514</v>
      </c>
      <c r="J229" s="548" t="s">
        <v>1179</v>
      </c>
      <c r="K229" s="557">
        <v>6500</v>
      </c>
      <c r="L229" s="558" t="s">
        <v>1029</v>
      </c>
      <c r="M229" s="546"/>
    </row>
    <row r="230" spans="1:13" ht="20.25" customHeight="1">
      <c r="A230" s="588" t="s">
        <v>1157</v>
      </c>
      <c r="B230" s="545" t="s">
        <v>279</v>
      </c>
      <c r="C230" s="548" t="s">
        <v>247</v>
      </c>
      <c r="D230" s="554" t="s">
        <v>248</v>
      </c>
      <c r="E230" s="555" t="s">
        <v>249</v>
      </c>
      <c r="F230" s="562">
        <v>34500</v>
      </c>
      <c r="G230" s="562">
        <v>34500</v>
      </c>
      <c r="H230" s="548" t="s">
        <v>1178</v>
      </c>
      <c r="I230" s="570" t="s">
        <v>250</v>
      </c>
      <c r="J230" s="570"/>
      <c r="K230" s="651"/>
      <c r="L230" s="558"/>
      <c r="M230" s="546"/>
    </row>
    <row r="231" spans="1:13" ht="17.25" customHeight="1">
      <c r="A231" s="588" t="s">
        <v>1158</v>
      </c>
      <c r="B231" s="652" t="s">
        <v>280</v>
      </c>
      <c r="C231" s="653" t="s">
        <v>319</v>
      </c>
      <c r="D231" s="644" t="s">
        <v>280</v>
      </c>
      <c r="E231" s="653" t="s">
        <v>320</v>
      </c>
      <c r="F231" s="653">
        <v>24990</v>
      </c>
      <c r="G231" s="654">
        <v>24990</v>
      </c>
      <c r="H231" s="654">
        <v>24990</v>
      </c>
      <c r="I231" s="653" t="s">
        <v>1178</v>
      </c>
      <c r="J231" s="547" t="s">
        <v>8</v>
      </c>
      <c r="K231" s="651"/>
      <c r="L231" s="558"/>
      <c r="M231" s="546"/>
    </row>
    <row r="232" spans="1:13" ht="19.5" customHeight="1">
      <c r="A232" s="588" t="s">
        <v>1159</v>
      </c>
      <c r="B232" s="545" t="s">
        <v>998</v>
      </c>
      <c r="C232" s="548" t="s">
        <v>17</v>
      </c>
      <c r="D232" s="554" t="s">
        <v>18</v>
      </c>
      <c r="E232" s="555" t="s">
        <v>696</v>
      </c>
      <c r="F232" s="556">
        <v>8000</v>
      </c>
      <c r="G232" s="556"/>
      <c r="H232" s="548" t="s">
        <v>1178</v>
      </c>
      <c r="I232" s="548" t="s">
        <v>1258</v>
      </c>
      <c r="J232" s="548" t="s">
        <v>1314</v>
      </c>
      <c r="K232" s="557">
        <v>8000</v>
      </c>
      <c r="L232" s="558" t="s">
        <v>1028</v>
      </c>
      <c r="M232" s="546"/>
    </row>
    <row r="233" spans="1:13" ht="20.25" customHeight="1">
      <c r="A233" s="588"/>
      <c r="B233" s="546"/>
      <c r="C233" s="570"/>
      <c r="D233" s="554" t="s">
        <v>98</v>
      </c>
      <c r="E233" s="563"/>
      <c r="F233" s="577"/>
      <c r="G233" s="577"/>
      <c r="H233" s="570"/>
      <c r="I233" s="570"/>
      <c r="J233" s="570"/>
      <c r="K233" s="558"/>
      <c r="L233" s="558"/>
      <c r="M233" s="546"/>
    </row>
    <row r="234" spans="1:13" ht="21" customHeight="1">
      <c r="A234" s="588"/>
      <c r="B234" s="546"/>
      <c r="C234" s="570"/>
      <c r="D234" s="554" t="s">
        <v>99</v>
      </c>
      <c r="E234" s="563"/>
      <c r="F234" s="577"/>
      <c r="G234" s="577"/>
      <c r="H234" s="570"/>
      <c r="I234" s="570"/>
      <c r="J234" s="570"/>
      <c r="K234" s="558"/>
      <c r="L234" s="558"/>
      <c r="M234" s="546"/>
    </row>
    <row r="235" spans="1:13" ht="21.75">
      <c r="A235" s="588"/>
      <c r="B235" s="546"/>
      <c r="C235" s="570"/>
      <c r="D235" s="554" t="s">
        <v>100</v>
      </c>
      <c r="E235" s="563"/>
      <c r="F235" s="577"/>
      <c r="G235" s="577"/>
      <c r="H235" s="570"/>
      <c r="I235" s="570"/>
      <c r="J235" s="570"/>
      <c r="K235" s="558"/>
      <c r="L235" s="558"/>
      <c r="M235" s="546"/>
    </row>
    <row r="236" spans="1:13" ht="28.5" customHeight="1">
      <c r="A236" s="588" t="s">
        <v>1161</v>
      </c>
      <c r="B236" s="585" t="s">
        <v>861</v>
      </c>
      <c r="C236" s="547" t="s">
        <v>450</v>
      </c>
      <c r="D236" s="585" t="s">
        <v>451</v>
      </c>
      <c r="E236" s="547" t="s">
        <v>718</v>
      </c>
      <c r="F236" s="587">
        <v>23000</v>
      </c>
      <c r="G236" s="724">
        <v>23000</v>
      </c>
      <c r="H236" s="548" t="s">
        <v>1178</v>
      </c>
      <c r="I236" s="548">
        <v>183</v>
      </c>
      <c r="J236" s="547" t="s">
        <v>8</v>
      </c>
      <c r="K236" s="558"/>
      <c r="L236" s="558"/>
      <c r="M236" s="546"/>
    </row>
    <row r="237" spans="1:13" ht="21.75">
      <c r="A237" s="588"/>
      <c r="B237" s="585" t="s">
        <v>861</v>
      </c>
      <c r="C237" s="547" t="s">
        <v>1282</v>
      </c>
      <c r="D237" s="585" t="s">
        <v>451</v>
      </c>
      <c r="E237" s="547" t="s">
        <v>1283</v>
      </c>
      <c r="F237" s="587">
        <v>17000</v>
      </c>
      <c r="G237" s="587">
        <v>17000</v>
      </c>
      <c r="H237" s="548" t="s">
        <v>1178</v>
      </c>
      <c r="I237" s="548">
        <v>423</v>
      </c>
      <c r="J237" s="547" t="s">
        <v>8</v>
      </c>
      <c r="K237" s="558"/>
      <c r="L237" s="558"/>
      <c r="M237" s="546"/>
    </row>
    <row r="238" spans="1:13" ht="21.75">
      <c r="A238" s="588"/>
      <c r="B238" s="585" t="s">
        <v>861</v>
      </c>
      <c r="C238" s="547" t="s">
        <v>1014</v>
      </c>
      <c r="D238" s="585" t="s">
        <v>451</v>
      </c>
      <c r="E238" s="607" t="s">
        <v>1013</v>
      </c>
      <c r="F238" s="608">
        <v>13000</v>
      </c>
      <c r="G238" s="613">
        <v>13000</v>
      </c>
      <c r="H238" s="591" t="s">
        <v>1178</v>
      </c>
      <c r="I238" s="609">
        <v>1098</v>
      </c>
      <c r="J238" s="591" t="s">
        <v>23</v>
      </c>
      <c r="K238" s="558"/>
      <c r="L238" s="558"/>
      <c r="M238" s="546"/>
    </row>
    <row r="239" spans="1:13" ht="25.5" customHeight="1">
      <c r="A239" s="588" t="s">
        <v>1160</v>
      </c>
      <c r="B239" s="545" t="s">
        <v>335</v>
      </c>
      <c r="C239" s="547" t="s">
        <v>671</v>
      </c>
      <c r="D239" s="545" t="s">
        <v>1285</v>
      </c>
      <c r="E239" s="547" t="s">
        <v>1283</v>
      </c>
      <c r="F239" s="587">
        <v>76800</v>
      </c>
      <c r="G239" s="724">
        <v>76800</v>
      </c>
      <c r="H239" s="548" t="s">
        <v>1178</v>
      </c>
      <c r="I239" s="548">
        <v>232</v>
      </c>
      <c r="J239" s="547"/>
      <c r="K239" s="558"/>
      <c r="L239" s="558"/>
      <c r="M239" s="546"/>
    </row>
    <row r="240" spans="1:13" ht="25.5" customHeight="1">
      <c r="A240" s="588" t="s">
        <v>1162</v>
      </c>
      <c r="B240" s="585" t="s">
        <v>673</v>
      </c>
      <c r="C240" s="547" t="s">
        <v>672</v>
      </c>
      <c r="D240" s="585" t="s">
        <v>673</v>
      </c>
      <c r="E240" s="547" t="s">
        <v>1286</v>
      </c>
      <c r="F240" s="587">
        <v>4800</v>
      </c>
      <c r="G240" s="724">
        <v>4800</v>
      </c>
      <c r="H240" s="548" t="s">
        <v>1178</v>
      </c>
      <c r="I240" s="548">
        <v>232</v>
      </c>
      <c r="J240" s="547"/>
      <c r="K240" s="558"/>
      <c r="L240" s="546"/>
      <c r="M240" s="546"/>
    </row>
    <row r="241" spans="1:13" ht="21.75">
      <c r="A241" s="588" t="s">
        <v>1173</v>
      </c>
      <c r="B241" s="595" t="s">
        <v>282</v>
      </c>
      <c r="C241" s="591" t="s">
        <v>1284</v>
      </c>
      <c r="D241" s="595" t="s">
        <v>1110</v>
      </c>
      <c r="E241" s="607" t="s">
        <v>1111</v>
      </c>
      <c r="F241" s="608">
        <v>4000</v>
      </c>
      <c r="G241" s="613">
        <v>8000</v>
      </c>
      <c r="H241" s="591" t="s">
        <v>1178</v>
      </c>
      <c r="I241" s="609">
        <v>359</v>
      </c>
      <c r="J241" s="591" t="s">
        <v>1313</v>
      </c>
      <c r="K241" s="558"/>
      <c r="L241" s="558"/>
      <c r="M241" s="546"/>
    </row>
    <row r="242" spans="1:13" ht="21.75">
      <c r="A242" s="634"/>
      <c r="B242" s="634"/>
      <c r="C242" s="711"/>
      <c r="D242" s="617" t="s">
        <v>1012</v>
      </c>
      <c r="E242" s="712"/>
      <c r="F242" s="719"/>
      <c r="G242" s="714"/>
      <c r="H242" s="618"/>
      <c r="I242" s="711"/>
      <c r="J242" s="618"/>
      <c r="K242" s="619"/>
      <c r="L242" s="619"/>
      <c r="M242" s="569"/>
    </row>
    <row r="243" spans="1:13" ht="20.25" customHeight="1">
      <c r="A243" s="855" t="s">
        <v>1129</v>
      </c>
      <c r="B243" s="856"/>
      <c r="C243" s="852" t="s">
        <v>85</v>
      </c>
      <c r="D243" s="852" t="s">
        <v>81</v>
      </c>
      <c r="E243" s="852" t="s">
        <v>82</v>
      </c>
      <c r="F243" s="852" t="s">
        <v>83</v>
      </c>
      <c r="G243" s="852" t="s">
        <v>84</v>
      </c>
      <c r="H243" s="852" t="s">
        <v>86</v>
      </c>
      <c r="I243" s="852" t="s">
        <v>1174</v>
      </c>
      <c r="J243" s="852" t="s">
        <v>1175</v>
      </c>
      <c r="K243" s="852" t="s">
        <v>242</v>
      </c>
      <c r="L243" s="852" t="s">
        <v>87</v>
      </c>
      <c r="M243" s="852" t="s">
        <v>1176</v>
      </c>
    </row>
    <row r="244" spans="1:13" ht="21" customHeight="1">
      <c r="A244" s="857"/>
      <c r="B244" s="858"/>
      <c r="C244" s="853"/>
      <c r="D244" s="853"/>
      <c r="E244" s="853"/>
      <c r="F244" s="853"/>
      <c r="G244" s="853"/>
      <c r="H244" s="853"/>
      <c r="I244" s="853"/>
      <c r="J244" s="853"/>
      <c r="K244" s="853"/>
      <c r="L244" s="853"/>
      <c r="M244" s="853"/>
    </row>
    <row r="245" spans="1:13" ht="21.75">
      <c r="A245" s="859"/>
      <c r="B245" s="860"/>
      <c r="C245" s="854"/>
      <c r="D245" s="854"/>
      <c r="E245" s="854"/>
      <c r="F245" s="854"/>
      <c r="G245" s="854"/>
      <c r="H245" s="854"/>
      <c r="I245" s="854"/>
      <c r="J245" s="854"/>
      <c r="K245" s="854"/>
      <c r="L245" s="854"/>
      <c r="M245" s="854"/>
    </row>
    <row r="246" spans="1:13" ht="32.25" customHeight="1">
      <c r="A246" s="655" t="s">
        <v>255</v>
      </c>
      <c r="B246" s="595" t="s">
        <v>283</v>
      </c>
      <c r="C246" s="591" t="s">
        <v>1112</v>
      </c>
      <c r="D246" s="595" t="s">
        <v>1113</v>
      </c>
      <c r="E246" s="593" t="s">
        <v>1114</v>
      </c>
      <c r="F246" s="594"/>
      <c r="G246" s="610">
        <v>29900</v>
      </c>
      <c r="H246" s="591" t="s">
        <v>1178</v>
      </c>
      <c r="I246" s="591">
        <v>796</v>
      </c>
      <c r="J246" s="591" t="s">
        <v>1313</v>
      </c>
      <c r="K246" s="558"/>
      <c r="L246" s="558"/>
      <c r="M246" s="558"/>
    </row>
    <row r="247" spans="1:13" ht="20.25" customHeight="1">
      <c r="A247" s="588"/>
      <c r="B247" s="614"/>
      <c r="C247" s="609"/>
      <c r="D247" s="595" t="s">
        <v>1094</v>
      </c>
      <c r="E247" s="607"/>
      <c r="F247" s="608"/>
      <c r="G247" s="613"/>
      <c r="H247" s="609"/>
      <c r="I247" s="609"/>
      <c r="J247" s="591"/>
      <c r="K247" s="558"/>
      <c r="L247" s="558"/>
      <c r="M247" s="558"/>
    </row>
    <row r="248" spans="1:13" ht="15.75" customHeight="1">
      <c r="A248" s="588"/>
      <c r="B248" s="614"/>
      <c r="C248" s="609"/>
      <c r="D248" s="595" t="s">
        <v>1115</v>
      </c>
      <c r="E248" s="607"/>
      <c r="F248" s="608"/>
      <c r="G248" s="613"/>
      <c r="H248" s="609"/>
      <c r="I248" s="609"/>
      <c r="J248" s="591"/>
      <c r="K248" s="558"/>
      <c r="L248" s="558"/>
      <c r="M248" s="558"/>
    </row>
    <row r="249" spans="1:13" ht="18" customHeight="1">
      <c r="A249" s="588"/>
      <c r="B249" s="614"/>
      <c r="C249" s="609"/>
      <c r="D249" s="595" t="s">
        <v>1116</v>
      </c>
      <c r="E249" s="607"/>
      <c r="F249" s="608"/>
      <c r="G249" s="613"/>
      <c r="H249" s="609"/>
      <c r="I249" s="609"/>
      <c r="J249" s="591"/>
      <c r="K249" s="558"/>
      <c r="L249" s="558"/>
      <c r="M249" s="558"/>
    </row>
    <row r="250" spans="1:13" ht="15.75" customHeight="1">
      <c r="A250" s="588"/>
      <c r="B250" s="614"/>
      <c r="C250" s="609"/>
      <c r="D250" s="595" t="s">
        <v>1117</v>
      </c>
      <c r="E250" s="607"/>
      <c r="F250" s="608"/>
      <c r="G250" s="613"/>
      <c r="H250" s="780"/>
      <c r="I250" s="609"/>
      <c r="J250" s="591"/>
      <c r="K250" s="558"/>
      <c r="L250" s="558"/>
      <c r="M250" s="558"/>
    </row>
    <row r="251" spans="1:13" ht="23.25" customHeight="1">
      <c r="A251" s="588"/>
      <c r="B251" s="614"/>
      <c r="C251" s="609"/>
      <c r="D251" s="595" t="s">
        <v>1118</v>
      </c>
      <c r="E251" s="607"/>
      <c r="F251" s="608"/>
      <c r="G251" s="613"/>
      <c r="H251" s="609"/>
      <c r="I251" s="609"/>
      <c r="J251" s="591"/>
      <c r="K251" s="558"/>
      <c r="L251" s="558"/>
      <c r="M251" s="558"/>
    </row>
    <row r="252" spans="1:13" ht="20.25" customHeight="1">
      <c r="A252" s="588"/>
      <c r="B252" s="546" t="s">
        <v>1037</v>
      </c>
      <c r="C252" s="611"/>
      <c r="D252" s="600"/>
      <c r="E252" s="615"/>
      <c r="F252" s="647"/>
      <c r="G252" s="656"/>
      <c r="H252" s="611"/>
      <c r="I252" s="611"/>
      <c r="J252" s="596"/>
      <c r="K252" s="558"/>
      <c r="L252" s="558"/>
      <c r="M252" s="558"/>
    </row>
    <row r="253" spans="1:13" ht="21.75">
      <c r="A253" s="588" t="s">
        <v>1155</v>
      </c>
      <c r="B253" s="597" t="s">
        <v>494</v>
      </c>
      <c r="C253" s="596" t="s">
        <v>89</v>
      </c>
      <c r="D253" s="597" t="s">
        <v>494</v>
      </c>
      <c r="E253" s="600" t="s">
        <v>724</v>
      </c>
      <c r="F253" s="599">
        <v>9600</v>
      </c>
      <c r="G253" s="599">
        <v>38400</v>
      </c>
      <c r="H253" s="596" t="s">
        <v>1178</v>
      </c>
      <c r="I253" s="596">
        <v>610</v>
      </c>
      <c r="J253" s="596" t="s">
        <v>8</v>
      </c>
      <c r="K253" s="558"/>
      <c r="L253" s="558"/>
      <c r="M253" s="558"/>
    </row>
    <row r="254" spans="1:13" ht="21.75">
      <c r="A254" s="588"/>
      <c r="B254" s="595"/>
      <c r="C254" s="591"/>
      <c r="D254" s="592"/>
      <c r="E254" s="595"/>
      <c r="F254" s="594"/>
      <c r="G254" s="594"/>
      <c r="H254" s="591"/>
      <c r="I254" s="591"/>
      <c r="J254" s="591"/>
      <c r="K254" s="558"/>
      <c r="L254" s="558"/>
      <c r="M254" s="558"/>
    </row>
    <row r="255" spans="1:13" ht="30.75" customHeight="1">
      <c r="A255" s="588"/>
      <c r="B255" s="545" t="s">
        <v>1287</v>
      </c>
      <c r="C255" s="611"/>
      <c r="D255" s="600"/>
      <c r="E255" s="615"/>
      <c r="F255" s="647"/>
      <c r="G255" s="656"/>
      <c r="H255" s="611"/>
      <c r="I255" s="611"/>
      <c r="J255" s="596"/>
      <c r="K255" s="558"/>
      <c r="L255" s="558"/>
      <c r="M255" s="558"/>
    </row>
    <row r="256" spans="1:13" ht="25.5" customHeight="1">
      <c r="A256" s="588" t="s">
        <v>1155</v>
      </c>
      <c r="B256" s="545" t="s">
        <v>1266</v>
      </c>
      <c r="C256" s="548" t="s">
        <v>1187</v>
      </c>
      <c r="D256" s="589" t="s">
        <v>518</v>
      </c>
      <c r="E256" s="555" t="s">
        <v>519</v>
      </c>
      <c r="F256" s="562">
        <v>3300</v>
      </c>
      <c r="G256" s="562"/>
      <c r="H256" s="548" t="s">
        <v>1178</v>
      </c>
      <c r="I256" s="548" t="s">
        <v>520</v>
      </c>
      <c r="J256" s="548" t="s">
        <v>1179</v>
      </c>
      <c r="K256" s="651">
        <v>3300</v>
      </c>
      <c r="L256" s="558" t="s">
        <v>1029</v>
      </c>
      <c r="M256" s="558"/>
    </row>
    <row r="257" spans="1:13" ht="21.75">
      <c r="A257" s="588"/>
      <c r="B257" s="545" t="s">
        <v>284</v>
      </c>
      <c r="C257" s="548" t="s">
        <v>340</v>
      </c>
      <c r="D257" s="554" t="s">
        <v>341</v>
      </c>
      <c r="E257" s="548" t="s">
        <v>713</v>
      </c>
      <c r="F257" s="556">
        <v>3200</v>
      </c>
      <c r="G257" s="556">
        <v>6400</v>
      </c>
      <c r="H257" s="548" t="s">
        <v>1178</v>
      </c>
      <c r="I257" s="548">
        <v>347</v>
      </c>
      <c r="J257" s="548" t="s">
        <v>8</v>
      </c>
      <c r="K257" s="558"/>
      <c r="L257" s="546"/>
      <c r="M257" s="558"/>
    </row>
    <row r="258" spans="1:13" ht="21.75">
      <c r="A258" s="588"/>
      <c r="B258" s="545"/>
      <c r="C258" s="548"/>
      <c r="D258" s="554"/>
      <c r="E258" s="548"/>
      <c r="F258" s="556"/>
      <c r="G258" s="556"/>
      <c r="H258" s="548"/>
      <c r="I258" s="574"/>
      <c r="J258" s="547"/>
      <c r="K258" s="558"/>
      <c r="L258" s="546"/>
      <c r="M258" s="558"/>
    </row>
    <row r="259" spans="1:13" ht="21.75">
      <c r="A259" s="588" t="s">
        <v>1156</v>
      </c>
      <c r="B259" s="545" t="s">
        <v>285</v>
      </c>
      <c r="C259" s="548" t="s">
        <v>344</v>
      </c>
      <c r="D259" s="554" t="s">
        <v>342</v>
      </c>
      <c r="E259" s="548" t="s">
        <v>714</v>
      </c>
      <c r="F259" s="562">
        <v>40026</v>
      </c>
      <c r="G259" s="562">
        <v>40026</v>
      </c>
      <c r="H259" s="548" t="s">
        <v>1178</v>
      </c>
      <c r="I259" s="548">
        <v>304</v>
      </c>
      <c r="J259" s="548" t="s">
        <v>8</v>
      </c>
      <c r="K259" s="558"/>
      <c r="L259" s="546"/>
      <c r="M259" s="558"/>
    </row>
    <row r="260" spans="1:13" ht="27" customHeight="1">
      <c r="A260" s="588"/>
      <c r="B260" s="545"/>
      <c r="C260" s="547"/>
      <c r="D260" s="585" t="s">
        <v>343</v>
      </c>
      <c r="E260" s="547"/>
      <c r="F260" s="587"/>
      <c r="G260" s="587"/>
      <c r="H260" s="547"/>
      <c r="I260" s="574"/>
      <c r="J260" s="547"/>
      <c r="K260" s="558"/>
      <c r="L260" s="546"/>
      <c r="M260" s="558"/>
    </row>
    <row r="261" spans="1:13" ht="30" customHeight="1">
      <c r="A261" s="588" t="s">
        <v>1157</v>
      </c>
      <c r="B261" s="545" t="s">
        <v>286</v>
      </c>
      <c r="C261" s="548" t="s">
        <v>345</v>
      </c>
      <c r="D261" s="554" t="s">
        <v>346</v>
      </c>
      <c r="E261" s="548" t="s">
        <v>713</v>
      </c>
      <c r="F261" s="556">
        <v>5200</v>
      </c>
      <c r="G261" s="556">
        <v>5200</v>
      </c>
      <c r="H261" s="548" t="s">
        <v>1178</v>
      </c>
      <c r="I261" s="548">
        <v>347</v>
      </c>
      <c r="J261" s="548" t="s">
        <v>8</v>
      </c>
      <c r="K261" s="558"/>
      <c r="L261" s="546"/>
      <c r="M261" s="558"/>
    </row>
    <row r="262" spans="1:13" ht="21.75">
      <c r="A262" s="588"/>
      <c r="B262" s="546" t="s">
        <v>19</v>
      </c>
      <c r="C262" s="548"/>
      <c r="D262" s="554"/>
      <c r="E262" s="548"/>
      <c r="F262" s="556"/>
      <c r="G262" s="556"/>
      <c r="H262" s="548"/>
      <c r="I262" s="547"/>
      <c r="J262" s="548"/>
      <c r="K262" s="558"/>
      <c r="L262" s="546"/>
      <c r="M262" s="558"/>
    </row>
    <row r="263" spans="1:13" ht="21.75">
      <c r="A263" s="588" t="s">
        <v>1155</v>
      </c>
      <c r="B263" s="545" t="s">
        <v>31</v>
      </c>
      <c r="C263" s="548" t="s">
        <v>52</v>
      </c>
      <c r="D263" s="545" t="s">
        <v>30</v>
      </c>
      <c r="E263" s="548" t="s">
        <v>32</v>
      </c>
      <c r="F263" s="556">
        <v>9450</v>
      </c>
      <c r="G263" s="556">
        <v>28350</v>
      </c>
      <c r="H263" s="548" t="s">
        <v>1306</v>
      </c>
      <c r="I263" s="547" t="s">
        <v>33</v>
      </c>
      <c r="J263" s="548" t="s">
        <v>36</v>
      </c>
      <c r="K263" s="558"/>
      <c r="L263" s="546"/>
      <c r="M263" s="558"/>
    </row>
    <row r="264" spans="1:13" ht="21.75">
      <c r="A264" s="588" t="s">
        <v>1156</v>
      </c>
      <c r="B264" s="545" t="s">
        <v>34</v>
      </c>
      <c r="C264" s="548" t="s">
        <v>53</v>
      </c>
      <c r="D264" s="545" t="s">
        <v>35</v>
      </c>
      <c r="E264" s="548"/>
      <c r="F264" s="556">
        <v>6000</v>
      </c>
      <c r="G264" s="556">
        <v>42000</v>
      </c>
      <c r="H264" s="548"/>
      <c r="I264" s="547"/>
      <c r="J264" s="548" t="s">
        <v>37</v>
      </c>
      <c r="K264" s="558"/>
      <c r="L264" s="546"/>
      <c r="M264" s="558"/>
    </row>
    <row r="265" spans="1:13" ht="21.75">
      <c r="A265" s="588" t="s">
        <v>1157</v>
      </c>
      <c r="B265" s="545" t="s">
        <v>38</v>
      </c>
      <c r="C265" s="548" t="s">
        <v>54</v>
      </c>
      <c r="D265" s="545" t="s">
        <v>38</v>
      </c>
      <c r="E265" s="548"/>
      <c r="F265" s="556">
        <v>6600</v>
      </c>
      <c r="G265" s="556">
        <v>46200</v>
      </c>
      <c r="H265" s="548"/>
      <c r="I265" s="547"/>
      <c r="J265" s="548" t="s">
        <v>36</v>
      </c>
      <c r="K265" s="558"/>
      <c r="L265" s="546"/>
      <c r="M265" s="558"/>
    </row>
    <row r="266" spans="1:13" ht="37.5">
      <c r="A266" s="634" t="s">
        <v>1158</v>
      </c>
      <c r="B266" s="630" t="s">
        <v>55</v>
      </c>
      <c r="C266" s="564" t="s">
        <v>56</v>
      </c>
      <c r="D266" s="630" t="s">
        <v>55</v>
      </c>
      <c r="E266" s="564"/>
      <c r="F266" s="677">
        <v>5000</v>
      </c>
      <c r="G266" s="677">
        <v>15000</v>
      </c>
      <c r="H266" s="564"/>
      <c r="I266" s="568"/>
      <c r="J266" s="564" t="s">
        <v>37</v>
      </c>
      <c r="K266" s="619"/>
      <c r="L266" s="569"/>
      <c r="M266" s="619"/>
    </row>
    <row r="267" spans="1:13" ht="21.75">
      <c r="A267" s="855" t="s">
        <v>1129</v>
      </c>
      <c r="B267" s="856"/>
      <c r="C267" s="852" t="s">
        <v>85</v>
      </c>
      <c r="D267" s="852" t="s">
        <v>81</v>
      </c>
      <c r="E267" s="852" t="s">
        <v>82</v>
      </c>
      <c r="F267" s="852" t="s">
        <v>83</v>
      </c>
      <c r="G267" s="852" t="s">
        <v>84</v>
      </c>
      <c r="H267" s="852" t="s">
        <v>86</v>
      </c>
      <c r="I267" s="852" t="s">
        <v>1174</v>
      </c>
      <c r="J267" s="852" t="s">
        <v>1175</v>
      </c>
      <c r="K267" s="852" t="s">
        <v>242</v>
      </c>
      <c r="L267" s="852" t="s">
        <v>87</v>
      </c>
      <c r="M267" s="852" t="s">
        <v>1176</v>
      </c>
    </row>
    <row r="268" spans="1:13" ht="21.75">
      <c r="A268" s="857"/>
      <c r="B268" s="858"/>
      <c r="C268" s="853"/>
      <c r="D268" s="853"/>
      <c r="E268" s="853"/>
      <c r="F268" s="853"/>
      <c r="G268" s="853"/>
      <c r="H268" s="853"/>
      <c r="I268" s="853"/>
      <c r="J268" s="853"/>
      <c r="K268" s="853"/>
      <c r="L268" s="853"/>
      <c r="M268" s="853"/>
    </row>
    <row r="269" spans="1:13" ht="21.75">
      <c r="A269" s="859"/>
      <c r="B269" s="860"/>
      <c r="C269" s="854"/>
      <c r="D269" s="854"/>
      <c r="E269" s="854"/>
      <c r="F269" s="854"/>
      <c r="G269" s="854"/>
      <c r="H269" s="854"/>
      <c r="I269" s="854"/>
      <c r="J269" s="854"/>
      <c r="K269" s="854"/>
      <c r="L269" s="854"/>
      <c r="M269" s="854"/>
    </row>
    <row r="270" spans="1:13" ht="27.75" customHeight="1">
      <c r="A270" s="655" t="s">
        <v>1159</v>
      </c>
      <c r="B270" s="545" t="s">
        <v>39</v>
      </c>
      <c r="C270" s="548" t="s">
        <v>57</v>
      </c>
      <c r="D270" s="545" t="s">
        <v>39</v>
      </c>
      <c r="E270" s="548"/>
      <c r="F270" s="556">
        <v>5850</v>
      </c>
      <c r="G270" s="556">
        <v>17550</v>
      </c>
      <c r="H270" s="548"/>
      <c r="I270" s="547"/>
      <c r="J270" s="548" t="s">
        <v>36</v>
      </c>
      <c r="K270" s="558"/>
      <c r="L270" s="546"/>
      <c r="M270" s="558"/>
    </row>
    <row r="271" spans="1:13" ht="21.75">
      <c r="A271" s="588" t="s">
        <v>1161</v>
      </c>
      <c r="B271" s="545" t="s">
        <v>40</v>
      </c>
      <c r="C271" s="548" t="s">
        <v>58</v>
      </c>
      <c r="D271" s="545" t="s">
        <v>40</v>
      </c>
      <c r="E271" s="548"/>
      <c r="F271" s="556">
        <v>9900</v>
      </c>
      <c r="G271" s="556">
        <v>49500</v>
      </c>
      <c r="H271" s="548"/>
      <c r="I271" s="547"/>
      <c r="J271" s="548" t="s">
        <v>37</v>
      </c>
      <c r="K271" s="558"/>
      <c r="L271" s="546"/>
      <c r="M271" s="558"/>
    </row>
    <row r="272" spans="1:13" ht="30" customHeight="1">
      <c r="A272" s="588" t="s">
        <v>1160</v>
      </c>
      <c r="B272" s="545" t="s">
        <v>41</v>
      </c>
      <c r="C272" s="548" t="s">
        <v>65</v>
      </c>
      <c r="D272" s="545" t="s">
        <v>41</v>
      </c>
      <c r="E272" s="548"/>
      <c r="F272" s="556">
        <v>6000</v>
      </c>
      <c r="G272" s="556">
        <v>30000</v>
      </c>
      <c r="H272" s="548"/>
      <c r="I272" s="547"/>
      <c r="J272" s="548" t="s">
        <v>36</v>
      </c>
      <c r="K272" s="558"/>
      <c r="L272" s="546"/>
      <c r="M272" s="558"/>
    </row>
    <row r="273" spans="1:13" ht="26.25" customHeight="1">
      <c r="A273" s="588" t="s">
        <v>1162</v>
      </c>
      <c r="B273" s="545" t="s">
        <v>42</v>
      </c>
      <c r="C273" s="548" t="s">
        <v>59</v>
      </c>
      <c r="D273" s="545" t="s">
        <v>42</v>
      </c>
      <c r="E273" s="548"/>
      <c r="F273" s="556">
        <v>13600</v>
      </c>
      <c r="G273" s="556">
        <v>40800</v>
      </c>
      <c r="H273" s="548"/>
      <c r="I273" s="547"/>
      <c r="J273" s="548" t="s">
        <v>37</v>
      </c>
      <c r="K273" s="558"/>
      <c r="L273" s="546"/>
      <c r="M273" s="558"/>
    </row>
    <row r="274" spans="1:13" ht="30.75" customHeight="1">
      <c r="A274" s="588" t="s">
        <v>1173</v>
      </c>
      <c r="B274" s="545" t="s">
        <v>43</v>
      </c>
      <c r="C274" s="548" t="s">
        <v>60</v>
      </c>
      <c r="D274" s="545" t="s">
        <v>43</v>
      </c>
      <c r="E274" s="548"/>
      <c r="F274" s="556">
        <v>6200</v>
      </c>
      <c r="G274" s="556">
        <v>18600</v>
      </c>
      <c r="H274" s="548"/>
      <c r="I274" s="547"/>
      <c r="J274" s="548" t="s">
        <v>36</v>
      </c>
      <c r="K274" s="558"/>
      <c r="L274" s="546"/>
      <c r="M274" s="558"/>
    </row>
    <row r="275" spans="1:13" ht="37.5">
      <c r="A275" s="588" t="s">
        <v>255</v>
      </c>
      <c r="B275" s="545" t="s">
        <v>44</v>
      </c>
      <c r="C275" s="548" t="s">
        <v>63</v>
      </c>
      <c r="D275" s="545" t="s">
        <v>44</v>
      </c>
      <c r="E275" s="548"/>
      <c r="F275" s="556">
        <v>9700</v>
      </c>
      <c r="G275" s="556">
        <v>29100</v>
      </c>
      <c r="H275" s="548"/>
      <c r="I275" s="547"/>
      <c r="J275" s="548" t="s">
        <v>37</v>
      </c>
      <c r="K275" s="558"/>
      <c r="L275" s="546"/>
      <c r="M275" s="558"/>
    </row>
    <row r="276" spans="1:13" ht="37.5">
      <c r="A276" s="588" t="s">
        <v>640</v>
      </c>
      <c r="B276" s="545" t="s">
        <v>61</v>
      </c>
      <c r="C276" s="548" t="s">
        <v>64</v>
      </c>
      <c r="D276" s="545" t="s">
        <v>61</v>
      </c>
      <c r="E276" s="548"/>
      <c r="F276" s="556">
        <v>35200</v>
      </c>
      <c r="G276" s="556">
        <v>70400</v>
      </c>
      <c r="H276" s="548"/>
      <c r="I276" s="547"/>
      <c r="J276" s="548" t="s">
        <v>36</v>
      </c>
      <c r="K276" s="558"/>
      <c r="L276" s="546"/>
      <c r="M276" s="558"/>
    </row>
    <row r="277" spans="1:13" ht="37.5">
      <c r="A277" s="588" t="s">
        <v>641</v>
      </c>
      <c r="B277" s="545" t="s">
        <v>62</v>
      </c>
      <c r="C277" s="548" t="s">
        <v>66</v>
      </c>
      <c r="D277" s="545" t="s">
        <v>62</v>
      </c>
      <c r="E277" s="548"/>
      <c r="F277" s="556">
        <v>44000</v>
      </c>
      <c r="G277" s="556">
        <v>88000</v>
      </c>
      <c r="H277" s="548"/>
      <c r="I277" s="547"/>
      <c r="J277" s="548" t="s">
        <v>37</v>
      </c>
      <c r="K277" s="558"/>
      <c r="L277" s="546"/>
      <c r="M277" s="558"/>
    </row>
    <row r="278" spans="1:13" ht="28.5" customHeight="1">
      <c r="A278" s="588" t="s">
        <v>642</v>
      </c>
      <c r="B278" s="545" t="s">
        <v>45</v>
      </c>
      <c r="C278" s="548" t="s">
        <v>67</v>
      </c>
      <c r="D278" s="545" t="s">
        <v>69</v>
      </c>
      <c r="E278" s="548"/>
      <c r="F278" s="556">
        <v>72000</v>
      </c>
      <c r="G278" s="556">
        <v>72000</v>
      </c>
      <c r="H278" s="548"/>
      <c r="I278" s="547"/>
      <c r="J278" s="548" t="s">
        <v>68</v>
      </c>
      <c r="K278" s="558"/>
      <c r="L278" s="546"/>
      <c r="M278" s="558"/>
    </row>
    <row r="279" spans="1:13" ht="28.5" customHeight="1">
      <c r="A279" s="588" t="s">
        <v>643</v>
      </c>
      <c r="B279" s="545" t="s">
        <v>46</v>
      </c>
      <c r="C279" s="548" t="s">
        <v>70</v>
      </c>
      <c r="D279" s="545" t="s">
        <v>73</v>
      </c>
      <c r="E279" s="548"/>
      <c r="F279" s="556">
        <v>33000</v>
      </c>
      <c r="G279" s="556">
        <v>66000</v>
      </c>
      <c r="H279" s="548"/>
      <c r="I279" s="547"/>
      <c r="J279" s="548" t="s">
        <v>36</v>
      </c>
      <c r="K279" s="558"/>
      <c r="L279" s="546"/>
      <c r="M279" s="558"/>
    </row>
    <row r="280" spans="1:13" ht="21.75">
      <c r="A280" s="588" t="s">
        <v>644</v>
      </c>
      <c r="B280" s="545" t="s">
        <v>47</v>
      </c>
      <c r="C280" s="548" t="s">
        <v>72</v>
      </c>
      <c r="D280" s="545" t="s">
        <v>71</v>
      </c>
      <c r="E280" s="548"/>
      <c r="F280" s="556">
        <v>26400</v>
      </c>
      <c r="G280" s="556">
        <v>79200</v>
      </c>
      <c r="H280" s="548"/>
      <c r="I280" s="547"/>
      <c r="J280" s="548" t="s">
        <v>37</v>
      </c>
      <c r="K280" s="558"/>
      <c r="L280" s="546"/>
      <c r="M280" s="558"/>
    </row>
    <row r="281" spans="1:13" ht="29.25" customHeight="1">
      <c r="A281" s="588" t="s">
        <v>645</v>
      </c>
      <c r="B281" s="545" t="s">
        <v>48</v>
      </c>
      <c r="C281" s="548" t="s">
        <v>74</v>
      </c>
      <c r="D281" s="545" t="s">
        <v>48</v>
      </c>
      <c r="E281" s="548"/>
      <c r="F281" s="556">
        <v>43800</v>
      </c>
      <c r="G281" s="556">
        <v>87600</v>
      </c>
      <c r="H281" s="548"/>
      <c r="I281" s="547"/>
      <c r="J281" s="548" t="s">
        <v>36</v>
      </c>
      <c r="K281" s="558"/>
      <c r="L281" s="546"/>
      <c r="M281" s="558"/>
    </row>
    <row r="282" spans="1:13" ht="30.75" customHeight="1">
      <c r="A282" s="588" t="s">
        <v>646</v>
      </c>
      <c r="B282" s="545" t="s">
        <v>49</v>
      </c>
      <c r="C282" s="548" t="s">
        <v>75</v>
      </c>
      <c r="D282" s="545" t="s">
        <v>49</v>
      </c>
      <c r="E282" s="548"/>
      <c r="F282" s="556">
        <v>16000</v>
      </c>
      <c r="G282" s="556">
        <v>48000</v>
      </c>
      <c r="H282" s="548"/>
      <c r="I282" s="547"/>
      <c r="J282" s="548" t="s">
        <v>36</v>
      </c>
      <c r="K282" s="558"/>
      <c r="L282" s="546"/>
      <c r="M282" s="546"/>
    </row>
    <row r="283" spans="1:13" ht="27.75" customHeight="1">
      <c r="A283" s="588" t="s">
        <v>647</v>
      </c>
      <c r="B283" s="545" t="s">
        <v>50</v>
      </c>
      <c r="C283" s="548" t="s">
        <v>76</v>
      </c>
      <c r="D283" s="545" t="s">
        <v>50</v>
      </c>
      <c r="E283" s="548"/>
      <c r="F283" s="556">
        <v>7900</v>
      </c>
      <c r="G283" s="556">
        <v>63200</v>
      </c>
      <c r="H283" s="548"/>
      <c r="I283" s="547"/>
      <c r="J283" s="548" t="s">
        <v>37</v>
      </c>
      <c r="K283" s="558"/>
      <c r="L283" s="546"/>
      <c r="M283" s="546"/>
    </row>
    <row r="284" spans="1:13" ht="33.75" customHeight="1">
      <c r="A284" s="588" t="s">
        <v>91</v>
      </c>
      <c r="B284" s="545" t="s">
        <v>51</v>
      </c>
      <c r="C284" s="548" t="s">
        <v>77</v>
      </c>
      <c r="D284" s="545" t="s">
        <v>51</v>
      </c>
      <c r="E284" s="548"/>
      <c r="F284" s="556">
        <v>41900</v>
      </c>
      <c r="G284" s="556">
        <v>83800</v>
      </c>
      <c r="H284" s="548"/>
      <c r="I284" s="547"/>
      <c r="J284" s="548" t="s">
        <v>36</v>
      </c>
      <c r="K284" s="558"/>
      <c r="L284" s="546"/>
      <c r="M284" s="546"/>
    </row>
    <row r="285" spans="1:13" ht="31.5" customHeight="1">
      <c r="A285" s="634"/>
      <c r="B285" s="657"/>
      <c r="C285" s="658"/>
      <c r="D285" s="659"/>
      <c r="E285" s="658"/>
      <c r="F285" s="660"/>
      <c r="G285" s="729">
        <f>SUM(G5:G284)</f>
        <v>5858009.37</v>
      </c>
      <c r="H285" s="661"/>
      <c r="I285" s="658"/>
      <c r="J285" s="568"/>
      <c r="K285" s="569"/>
      <c r="L285" s="569"/>
      <c r="M285" s="619"/>
    </row>
    <row r="286" spans="1:13" ht="21" customHeight="1">
      <c r="A286" s="855" t="s">
        <v>1129</v>
      </c>
      <c r="B286" s="856"/>
      <c r="C286" s="852" t="s">
        <v>85</v>
      </c>
      <c r="D286" s="852" t="s">
        <v>81</v>
      </c>
      <c r="E286" s="852" t="s">
        <v>82</v>
      </c>
      <c r="F286" s="852" t="s">
        <v>83</v>
      </c>
      <c r="G286" s="853" t="s">
        <v>84</v>
      </c>
      <c r="H286" s="852" t="s">
        <v>86</v>
      </c>
      <c r="I286" s="852" t="s">
        <v>1174</v>
      </c>
      <c r="J286" s="852" t="s">
        <v>1175</v>
      </c>
      <c r="K286" s="852" t="s">
        <v>242</v>
      </c>
      <c r="L286" s="852" t="s">
        <v>87</v>
      </c>
      <c r="M286" s="852" t="s">
        <v>1176</v>
      </c>
    </row>
    <row r="287" spans="1:13" ht="17.25" customHeight="1">
      <c r="A287" s="857"/>
      <c r="B287" s="858"/>
      <c r="C287" s="853"/>
      <c r="D287" s="853"/>
      <c r="E287" s="853"/>
      <c r="F287" s="853"/>
      <c r="G287" s="853"/>
      <c r="H287" s="853"/>
      <c r="I287" s="853"/>
      <c r="J287" s="853"/>
      <c r="K287" s="853"/>
      <c r="L287" s="853"/>
      <c r="M287" s="853"/>
    </row>
    <row r="288" spans="1:13" ht="17.25" customHeight="1">
      <c r="A288" s="859"/>
      <c r="B288" s="860"/>
      <c r="C288" s="854"/>
      <c r="D288" s="854"/>
      <c r="E288" s="854"/>
      <c r="F288" s="854"/>
      <c r="G288" s="854"/>
      <c r="H288" s="854"/>
      <c r="I288" s="854"/>
      <c r="J288" s="854"/>
      <c r="K288" s="854"/>
      <c r="L288" s="854"/>
      <c r="M288" s="854"/>
    </row>
    <row r="289" spans="1:13" ht="21.75">
      <c r="A289" s="781" t="s">
        <v>1155</v>
      </c>
      <c r="B289" s="545" t="s">
        <v>290</v>
      </c>
      <c r="C289" s="548" t="s">
        <v>166</v>
      </c>
      <c r="D289" s="589" t="s">
        <v>1321</v>
      </c>
      <c r="E289" s="555" t="s">
        <v>688</v>
      </c>
      <c r="F289" s="570"/>
      <c r="G289" s="556">
        <v>42900</v>
      </c>
      <c r="H289" s="556">
        <f>G289*1</f>
        <v>42900</v>
      </c>
      <c r="I289" s="548" t="s">
        <v>1178</v>
      </c>
      <c r="J289" s="548" t="s">
        <v>587</v>
      </c>
      <c r="K289" s="582"/>
      <c r="L289" s="560"/>
      <c r="M289" s="637"/>
    </row>
    <row r="290" spans="1:13" ht="24" customHeight="1">
      <c r="A290" s="546"/>
      <c r="B290" s="546"/>
      <c r="C290" s="570"/>
      <c r="D290" s="589" t="s">
        <v>1323</v>
      </c>
      <c r="E290" s="563"/>
      <c r="F290" s="558"/>
      <c r="G290" s="577"/>
      <c r="H290" s="577"/>
      <c r="I290" s="558"/>
      <c r="J290" s="558"/>
      <c r="K290" s="560"/>
      <c r="L290" s="560"/>
      <c r="M290" s="546"/>
    </row>
    <row r="291" spans="1:13" ht="18.75" customHeight="1">
      <c r="A291" s="546"/>
      <c r="B291" s="546"/>
      <c r="C291" s="570"/>
      <c r="D291" s="589" t="s">
        <v>1324</v>
      </c>
      <c r="E291" s="563"/>
      <c r="F291" s="570"/>
      <c r="G291" s="578"/>
      <c r="H291" s="578"/>
      <c r="I291" s="570"/>
      <c r="J291" s="570"/>
      <c r="K291" s="662"/>
      <c r="L291" s="560"/>
      <c r="M291" s="546"/>
    </row>
    <row r="292" spans="1:13" ht="21.75">
      <c r="A292" s="546"/>
      <c r="B292" s="546"/>
      <c r="C292" s="570"/>
      <c r="D292" s="589" t="s">
        <v>0</v>
      </c>
      <c r="E292" s="563"/>
      <c r="F292" s="570"/>
      <c r="G292" s="578"/>
      <c r="H292" s="578"/>
      <c r="I292" s="570"/>
      <c r="J292" s="570"/>
      <c r="K292" s="662"/>
      <c r="L292" s="560"/>
      <c r="M292" s="546"/>
    </row>
    <row r="293" spans="1:13" ht="21.75">
      <c r="A293" s="545"/>
      <c r="B293" s="545" t="s">
        <v>290</v>
      </c>
      <c r="C293" s="548" t="s">
        <v>167</v>
      </c>
      <c r="D293" s="589" t="s">
        <v>1321</v>
      </c>
      <c r="E293" s="555" t="s">
        <v>690</v>
      </c>
      <c r="F293" s="556">
        <v>42000</v>
      </c>
      <c r="G293" s="556">
        <v>42000</v>
      </c>
      <c r="H293" s="548" t="s">
        <v>1178</v>
      </c>
      <c r="I293" s="548" t="s">
        <v>1178</v>
      </c>
      <c r="J293" s="548" t="s">
        <v>588</v>
      </c>
      <c r="K293" s="582"/>
      <c r="L293" s="560"/>
      <c r="M293" s="546"/>
    </row>
    <row r="294" spans="1:13" ht="21.75">
      <c r="A294" s="546"/>
      <c r="B294" s="546"/>
      <c r="C294" s="570"/>
      <c r="D294" s="589" t="s">
        <v>1323</v>
      </c>
      <c r="E294" s="563"/>
      <c r="F294" s="577"/>
      <c r="G294" s="577"/>
      <c r="H294" s="558"/>
      <c r="I294" s="558"/>
      <c r="J294" s="558"/>
      <c r="K294" s="560"/>
      <c r="L294" s="560"/>
      <c r="M294" s="546"/>
    </row>
    <row r="295" spans="1:13" ht="21.75">
      <c r="A295" s="546"/>
      <c r="B295" s="546"/>
      <c r="C295" s="570"/>
      <c r="D295" s="589" t="s">
        <v>1324</v>
      </c>
      <c r="E295" s="563"/>
      <c r="F295" s="578"/>
      <c r="G295" s="578"/>
      <c r="H295" s="570"/>
      <c r="I295" s="570"/>
      <c r="J295" s="570"/>
      <c r="K295" s="662"/>
      <c r="L295" s="560"/>
      <c r="M295" s="546"/>
    </row>
    <row r="296" spans="1:13" ht="21.75">
      <c r="A296" s="546"/>
      <c r="B296" s="546"/>
      <c r="C296" s="643"/>
      <c r="D296" s="652" t="s">
        <v>0</v>
      </c>
      <c r="E296" s="782"/>
      <c r="F296" s="645"/>
      <c r="G296" s="645"/>
      <c r="H296" s="643"/>
      <c r="I296" s="646"/>
      <c r="J296" s="570"/>
      <c r="K296" s="662"/>
      <c r="L296" s="560"/>
      <c r="M296" s="546"/>
    </row>
    <row r="297" spans="1:13" ht="21.75">
      <c r="A297" s="545"/>
      <c r="B297" s="545" t="s">
        <v>290</v>
      </c>
      <c r="C297" s="548" t="s">
        <v>168</v>
      </c>
      <c r="D297" s="589" t="s">
        <v>1321</v>
      </c>
      <c r="E297" s="555" t="s">
        <v>589</v>
      </c>
      <c r="F297" s="556">
        <v>30616</v>
      </c>
      <c r="G297" s="556">
        <v>30616</v>
      </c>
      <c r="H297" s="548" t="s">
        <v>1178</v>
      </c>
      <c r="I297" s="548" t="s">
        <v>1178</v>
      </c>
      <c r="J297" s="548" t="s">
        <v>244</v>
      </c>
      <c r="K297" s="582"/>
      <c r="L297" s="560"/>
      <c r="M297" s="546"/>
    </row>
    <row r="298" spans="1:13" ht="21.75">
      <c r="A298" s="546"/>
      <c r="B298" s="546"/>
      <c r="C298" s="570"/>
      <c r="D298" s="589" t="s">
        <v>1323</v>
      </c>
      <c r="E298" s="563"/>
      <c r="F298" s="577"/>
      <c r="G298" s="577"/>
      <c r="H298" s="558"/>
      <c r="I298" s="558"/>
      <c r="J298" s="558"/>
      <c r="K298" s="560"/>
      <c r="L298" s="560"/>
      <c r="M298" s="546"/>
    </row>
    <row r="299" spans="1:13" ht="21.75">
      <c r="A299" s="546"/>
      <c r="B299" s="546"/>
      <c r="C299" s="570"/>
      <c r="D299" s="589" t="s">
        <v>1324</v>
      </c>
      <c r="E299" s="563"/>
      <c r="F299" s="578"/>
      <c r="G299" s="578"/>
      <c r="H299" s="570"/>
      <c r="I299" s="570"/>
      <c r="J299" s="570"/>
      <c r="K299" s="662"/>
      <c r="L299" s="663"/>
      <c r="M299" s="546"/>
    </row>
    <row r="300" spans="1:13" ht="21.75">
      <c r="A300" s="546"/>
      <c r="B300" s="546"/>
      <c r="C300" s="570"/>
      <c r="D300" s="589" t="s">
        <v>0</v>
      </c>
      <c r="E300" s="563"/>
      <c r="F300" s="578"/>
      <c r="G300" s="578"/>
      <c r="H300" s="570"/>
      <c r="I300" s="570"/>
      <c r="J300" s="570"/>
      <c r="K300" s="662"/>
      <c r="L300" s="663"/>
      <c r="M300" s="546"/>
    </row>
    <row r="301" spans="1:13" ht="21.75">
      <c r="A301" s="546"/>
      <c r="B301" s="545" t="s">
        <v>290</v>
      </c>
      <c r="C301" s="548" t="s">
        <v>169</v>
      </c>
      <c r="D301" s="589" t="s">
        <v>132</v>
      </c>
      <c r="E301" s="555" t="s">
        <v>591</v>
      </c>
      <c r="F301" s="556">
        <v>38500</v>
      </c>
      <c r="G301" s="556">
        <v>77000</v>
      </c>
      <c r="H301" s="548" t="s">
        <v>1178</v>
      </c>
      <c r="I301" s="548" t="s">
        <v>1178</v>
      </c>
      <c r="J301" s="548" t="s">
        <v>592</v>
      </c>
      <c r="K301" s="548"/>
      <c r="L301" s="560"/>
      <c r="M301" s="546"/>
    </row>
    <row r="302" spans="1:13" ht="21.75">
      <c r="A302" s="545"/>
      <c r="B302" s="546"/>
      <c r="C302" s="570"/>
      <c r="D302" s="589" t="s">
        <v>133</v>
      </c>
      <c r="E302" s="570"/>
      <c r="F302" s="577"/>
      <c r="G302" s="577"/>
      <c r="H302" s="558"/>
      <c r="I302" s="558"/>
      <c r="J302" s="548" t="s">
        <v>593</v>
      </c>
      <c r="K302" s="548"/>
      <c r="L302" s="560"/>
      <c r="M302" s="546"/>
    </row>
    <row r="303" spans="1:13" ht="21.75">
      <c r="A303" s="546"/>
      <c r="B303" s="546"/>
      <c r="C303" s="570"/>
      <c r="D303" s="589" t="s">
        <v>134</v>
      </c>
      <c r="E303" s="570"/>
      <c r="F303" s="578"/>
      <c r="G303" s="578"/>
      <c r="H303" s="570"/>
      <c r="I303" s="570"/>
      <c r="J303" s="570"/>
      <c r="K303" s="570"/>
      <c r="L303" s="560"/>
      <c r="M303" s="546"/>
    </row>
    <row r="304" spans="1:13" ht="21.75" customHeight="1">
      <c r="A304" s="546"/>
      <c r="B304" s="545" t="s">
        <v>290</v>
      </c>
      <c r="C304" s="548" t="s">
        <v>228</v>
      </c>
      <c r="D304" s="589" t="s">
        <v>132</v>
      </c>
      <c r="E304" s="555" t="s">
        <v>599</v>
      </c>
      <c r="F304" s="556">
        <v>38700</v>
      </c>
      <c r="G304" s="556">
        <v>38700</v>
      </c>
      <c r="H304" s="548" t="s">
        <v>1178</v>
      </c>
      <c r="I304" s="548" t="s">
        <v>1178</v>
      </c>
      <c r="J304" s="548">
        <v>244</v>
      </c>
      <c r="K304" s="548"/>
      <c r="L304" s="560"/>
      <c r="M304" s="546"/>
    </row>
    <row r="305" spans="1:13" ht="21.75">
      <c r="A305" s="635"/>
      <c r="B305" s="545"/>
      <c r="C305" s="548"/>
      <c r="D305" s="589" t="s">
        <v>133</v>
      </c>
      <c r="E305" s="548"/>
      <c r="F305" s="589"/>
      <c r="G305" s="562"/>
      <c r="H305" s="562"/>
      <c r="I305" s="589"/>
      <c r="J305" s="548"/>
      <c r="K305" s="548"/>
      <c r="L305" s="560"/>
      <c r="M305" s="546"/>
    </row>
    <row r="306" spans="1:13" ht="21.75">
      <c r="A306" s="635"/>
      <c r="B306" s="545"/>
      <c r="C306" s="548"/>
      <c r="D306" s="589" t="s">
        <v>134</v>
      </c>
      <c r="E306" s="548"/>
      <c r="F306" s="589"/>
      <c r="G306" s="562"/>
      <c r="H306" s="562"/>
      <c r="I306" s="589"/>
      <c r="J306" s="548"/>
      <c r="K306" s="548"/>
      <c r="L306" s="560"/>
      <c r="M306" s="546"/>
    </row>
    <row r="307" spans="1:13" ht="21.75">
      <c r="A307" s="545"/>
      <c r="B307" s="545" t="s">
        <v>290</v>
      </c>
      <c r="C307" s="548" t="s">
        <v>288</v>
      </c>
      <c r="D307" s="589" t="s">
        <v>287</v>
      </c>
      <c r="E307" s="548" t="s">
        <v>716</v>
      </c>
      <c r="F307" s="638">
        <v>50000</v>
      </c>
      <c r="G307" s="556">
        <v>250000</v>
      </c>
      <c r="H307" s="548" t="s">
        <v>1306</v>
      </c>
      <c r="I307" s="548" t="s">
        <v>1306</v>
      </c>
      <c r="J307" s="589">
        <v>174</v>
      </c>
      <c r="K307" s="548"/>
      <c r="L307" s="663"/>
      <c r="M307" s="546"/>
    </row>
    <row r="308" spans="1:13" ht="21.75">
      <c r="A308" s="545"/>
      <c r="B308" s="545"/>
      <c r="C308" s="548"/>
      <c r="D308" s="589" t="s">
        <v>133</v>
      </c>
      <c r="E308" s="548"/>
      <c r="F308" s="638"/>
      <c r="G308" s="556"/>
      <c r="H308" s="556"/>
      <c r="I308" s="548"/>
      <c r="J308" s="545"/>
      <c r="K308" s="545"/>
      <c r="L308" s="663"/>
      <c r="M308" s="546"/>
    </row>
    <row r="309" spans="1:13" ht="21.75">
      <c r="A309" s="546"/>
      <c r="B309" s="545"/>
      <c r="C309" s="547"/>
      <c r="D309" s="589" t="s">
        <v>134</v>
      </c>
      <c r="E309" s="547"/>
      <c r="F309" s="664"/>
      <c r="G309" s="587"/>
      <c r="H309" s="587"/>
      <c r="I309" s="545"/>
      <c r="J309" s="547"/>
      <c r="K309" s="547"/>
      <c r="L309" s="560"/>
      <c r="M309" s="546"/>
    </row>
    <row r="310" spans="1:13" ht="21.75">
      <c r="A310" s="545"/>
      <c r="B310" s="545" t="s">
        <v>290</v>
      </c>
      <c r="C310" s="596" t="s">
        <v>289</v>
      </c>
      <c r="D310" s="600" t="s">
        <v>473</v>
      </c>
      <c r="E310" s="665" t="s">
        <v>293</v>
      </c>
      <c r="F310" s="600"/>
      <c r="G310" s="599">
        <v>100000</v>
      </c>
      <c r="H310" s="596" t="s">
        <v>1306</v>
      </c>
      <c r="I310" s="596" t="s">
        <v>474</v>
      </c>
      <c r="J310" s="548" t="s">
        <v>351</v>
      </c>
      <c r="K310" s="582"/>
      <c r="L310" s="560"/>
      <c r="M310" s="546"/>
    </row>
    <row r="311" spans="1:13" ht="21.75">
      <c r="A311" s="630"/>
      <c r="B311" s="617"/>
      <c r="C311" s="649" t="s">
        <v>472</v>
      </c>
      <c r="D311" s="666" t="s">
        <v>485</v>
      </c>
      <c r="E311" s="667"/>
      <c r="F311" s="666"/>
      <c r="G311" s="668"/>
      <c r="H311" s="649"/>
      <c r="I311" s="666"/>
      <c r="J311" s="564" t="s">
        <v>226</v>
      </c>
      <c r="K311" s="669"/>
      <c r="L311" s="670"/>
      <c r="M311" s="569"/>
    </row>
    <row r="312" spans="1:13" ht="18" customHeight="1">
      <c r="A312" s="855" t="s">
        <v>1129</v>
      </c>
      <c r="B312" s="856"/>
      <c r="C312" s="852" t="s">
        <v>85</v>
      </c>
      <c r="D312" s="852" t="s">
        <v>81</v>
      </c>
      <c r="E312" s="852" t="s">
        <v>82</v>
      </c>
      <c r="F312" s="852" t="s">
        <v>83</v>
      </c>
      <c r="G312" s="852" t="s">
        <v>84</v>
      </c>
      <c r="H312" s="852" t="s">
        <v>86</v>
      </c>
      <c r="I312" s="852" t="s">
        <v>1174</v>
      </c>
      <c r="J312" s="852" t="s">
        <v>1175</v>
      </c>
      <c r="K312" s="852" t="s">
        <v>242</v>
      </c>
      <c r="L312" s="852" t="s">
        <v>87</v>
      </c>
      <c r="M312" s="852" t="s">
        <v>1176</v>
      </c>
    </row>
    <row r="313" spans="1:13" ht="21.75">
      <c r="A313" s="857"/>
      <c r="B313" s="858"/>
      <c r="C313" s="853"/>
      <c r="D313" s="853"/>
      <c r="E313" s="853"/>
      <c r="F313" s="853"/>
      <c r="G313" s="853"/>
      <c r="H313" s="853"/>
      <c r="I313" s="853"/>
      <c r="J313" s="853"/>
      <c r="K313" s="853"/>
      <c r="L313" s="853"/>
      <c r="M313" s="853"/>
    </row>
    <row r="314" spans="1:13" ht="22.5" customHeight="1">
      <c r="A314" s="859"/>
      <c r="B314" s="860"/>
      <c r="C314" s="854"/>
      <c r="D314" s="854"/>
      <c r="E314" s="854"/>
      <c r="F314" s="854"/>
      <c r="G314" s="854"/>
      <c r="H314" s="854"/>
      <c r="I314" s="854"/>
      <c r="J314" s="854"/>
      <c r="K314" s="854"/>
      <c r="L314" s="854"/>
      <c r="M314" s="854"/>
    </row>
    <row r="315" spans="1:13" ht="21.75">
      <c r="A315" s="781" t="s">
        <v>1156</v>
      </c>
      <c r="B315" s="545" t="s">
        <v>292</v>
      </c>
      <c r="C315" s="638" t="s">
        <v>170</v>
      </c>
      <c r="D315" s="589" t="s">
        <v>1</v>
      </c>
      <c r="E315" s="555" t="s">
        <v>689</v>
      </c>
      <c r="F315" s="556">
        <v>171700</v>
      </c>
      <c r="G315" s="556">
        <v>171700</v>
      </c>
      <c r="H315" s="548" t="s">
        <v>1306</v>
      </c>
      <c r="I315" s="548" t="s">
        <v>778</v>
      </c>
      <c r="J315" s="548" t="s">
        <v>2</v>
      </c>
      <c r="K315" s="582"/>
      <c r="L315" s="560"/>
      <c r="M315" s="546"/>
    </row>
    <row r="316" spans="1:13" ht="21.75">
      <c r="A316" s="546"/>
      <c r="B316" s="546"/>
      <c r="C316" s="570"/>
      <c r="D316" s="589" t="s">
        <v>3</v>
      </c>
      <c r="E316" s="563"/>
      <c r="F316" s="578"/>
      <c r="G316" s="578"/>
      <c r="H316" s="570"/>
      <c r="I316" s="570"/>
      <c r="J316" s="570"/>
      <c r="K316" s="662"/>
      <c r="L316" s="558"/>
      <c r="M316" s="546"/>
    </row>
    <row r="317" spans="1:13" ht="18" customHeight="1">
      <c r="A317" s="546"/>
      <c r="B317" s="546"/>
      <c r="C317" s="570"/>
      <c r="D317" s="589" t="s">
        <v>4</v>
      </c>
      <c r="E317" s="563"/>
      <c r="F317" s="578"/>
      <c r="G317" s="578"/>
      <c r="H317" s="570"/>
      <c r="I317" s="570"/>
      <c r="J317" s="570"/>
      <c r="K317" s="662"/>
      <c r="L317" s="558"/>
      <c r="M317" s="546"/>
    </row>
    <row r="318" spans="1:13" ht="22.5" customHeight="1">
      <c r="A318" s="546"/>
      <c r="B318" s="545" t="s">
        <v>292</v>
      </c>
      <c r="C318" s="638" t="s">
        <v>171</v>
      </c>
      <c r="D318" s="589" t="s">
        <v>1</v>
      </c>
      <c r="E318" s="555" t="s">
        <v>694</v>
      </c>
      <c r="F318" s="556">
        <v>122750</v>
      </c>
      <c r="G318" s="556">
        <v>122750</v>
      </c>
      <c r="H318" s="548" t="s">
        <v>1306</v>
      </c>
      <c r="I318" s="548" t="s">
        <v>590</v>
      </c>
      <c r="J318" s="548" t="s">
        <v>15</v>
      </c>
      <c r="K318" s="582"/>
      <c r="L318" s="558"/>
      <c r="M318" s="546"/>
    </row>
    <row r="319" spans="1:13" ht="21.75">
      <c r="A319" s="546"/>
      <c r="B319" s="546"/>
      <c r="C319" s="570"/>
      <c r="D319" s="589" t="s">
        <v>3</v>
      </c>
      <c r="E319" s="563"/>
      <c r="F319" s="578"/>
      <c r="G319" s="578"/>
      <c r="H319" s="570"/>
      <c r="I319" s="570"/>
      <c r="J319" s="570"/>
      <c r="K319" s="662"/>
      <c r="L319" s="558"/>
      <c r="M319" s="546"/>
    </row>
    <row r="320" spans="1:13" ht="24" customHeight="1">
      <c r="A320" s="635"/>
      <c r="B320" s="546"/>
      <c r="C320" s="570"/>
      <c r="D320" s="589" t="s">
        <v>4</v>
      </c>
      <c r="E320" s="563"/>
      <c r="F320" s="578"/>
      <c r="G320" s="578"/>
      <c r="H320" s="570"/>
      <c r="I320" s="570"/>
      <c r="J320" s="570"/>
      <c r="K320" s="662"/>
      <c r="L320" s="558"/>
      <c r="M320" s="546"/>
    </row>
    <row r="321" spans="1:13" ht="21.75">
      <c r="A321" s="545"/>
      <c r="B321" s="545" t="s">
        <v>294</v>
      </c>
      <c r="C321" s="638" t="s">
        <v>172</v>
      </c>
      <c r="D321" s="589" t="s">
        <v>137</v>
      </c>
      <c r="E321" s="555" t="s">
        <v>701</v>
      </c>
      <c r="F321" s="556">
        <v>199000</v>
      </c>
      <c r="G321" s="556">
        <v>199000</v>
      </c>
      <c r="H321" s="548" t="s">
        <v>1306</v>
      </c>
      <c r="I321" s="548" t="s">
        <v>246</v>
      </c>
      <c r="J321" s="548" t="s">
        <v>135</v>
      </c>
      <c r="K321" s="548"/>
      <c r="L321" s="558"/>
      <c r="M321" s="546"/>
    </row>
    <row r="322" spans="1:13" ht="21.75">
      <c r="A322" s="546"/>
      <c r="B322" s="546"/>
      <c r="C322" s="570"/>
      <c r="D322" s="589" t="s">
        <v>138</v>
      </c>
      <c r="E322" s="570"/>
      <c r="F322" s="577"/>
      <c r="G322" s="577"/>
      <c r="H322" s="558"/>
      <c r="I322" s="548"/>
      <c r="J322" s="548"/>
      <c r="K322" s="548"/>
      <c r="L322" s="558"/>
      <c r="M322" s="546"/>
    </row>
    <row r="323" spans="1:13" ht="21.75">
      <c r="A323" s="546"/>
      <c r="B323" s="546"/>
      <c r="C323" s="570"/>
      <c r="D323" s="589" t="s">
        <v>139</v>
      </c>
      <c r="E323" s="570"/>
      <c r="F323" s="578"/>
      <c r="G323" s="578"/>
      <c r="H323" s="570"/>
      <c r="I323" s="570"/>
      <c r="J323" s="570"/>
      <c r="K323" s="570"/>
      <c r="L323" s="558"/>
      <c r="M323" s="546"/>
    </row>
    <row r="324" spans="1:13" ht="22.5" customHeight="1">
      <c r="A324" s="545"/>
      <c r="B324" s="545" t="s">
        <v>294</v>
      </c>
      <c r="C324" s="638" t="s">
        <v>173</v>
      </c>
      <c r="D324" s="589" t="s">
        <v>137</v>
      </c>
      <c r="E324" s="555" t="s">
        <v>704</v>
      </c>
      <c r="F324" s="556">
        <v>233500</v>
      </c>
      <c r="G324" s="556">
        <v>233500</v>
      </c>
      <c r="H324" s="548" t="s">
        <v>1306</v>
      </c>
      <c r="I324" s="548" t="s">
        <v>245</v>
      </c>
      <c r="J324" s="548" t="s">
        <v>136</v>
      </c>
      <c r="K324" s="548"/>
      <c r="L324" s="558"/>
      <c r="M324" s="546"/>
    </row>
    <row r="325" spans="1:13" ht="21.75">
      <c r="A325" s="546"/>
      <c r="B325" s="546"/>
      <c r="C325" s="570"/>
      <c r="D325" s="589" t="s">
        <v>138</v>
      </c>
      <c r="E325" s="570"/>
      <c r="F325" s="577"/>
      <c r="G325" s="577"/>
      <c r="H325" s="558"/>
      <c r="I325" s="548"/>
      <c r="J325" s="548"/>
      <c r="K325" s="548"/>
      <c r="L325" s="558"/>
      <c r="M325" s="546"/>
    </row>
    <row r="326" spans="1:13" ht="21.75" customHeight="1">
      <c r="A326" s="546"/>
      <c r="B326" s="546"/>
      <c r="C326" s="570"/>
      <c r="D326" s="589" t="s">
        <v>139</v>
      </c>
      <c r="E326" s="570"/>
      <c r="F326" s="578"/>
      <c r="G326" s="578"/>
      <c r="H326" s="570"/>
      <c r="I326" s="570"/>
      <c r="J326" s="570"/>
      <c r="K326" s="570"/>
      <c r="L326" s="558"/>
      <c r="M326" s="546"/>
    </row>
    <row r="327" spans="1:13" ht="21.75">
      <c r="A327" s="545"/>
      <c r="B327" s="545" t="s">
        <v>294</v>
      </c>
      <c r="C327" s="638" t="s">
        <v>174</v>
      </c>
      <c r="D327" s="589" t="s">
        <v>137</v>
      </c>
      <c r="E327" s="555" t="s">
        <v>705</v>
      </c>
      <c r="F327" s="556">
        <v>238000</v>
      </c>
      <c r="G327" s="556">
        <v>238000</v>
      </c>
      <c r="H327" s="548" t="s">
        <v>1306</v>
      </c>
      <c r="I327" s="548" t="s">
        <v>594</v>
      </c>
      <c r="J327" s="548" t="s">
        <v>5</v>
      </c>
      <c r="K327" s="548"/>
      <c r="L327" s="558"/>
      <c r="M327" s="546"/>
    </row>
    <row r="328" spans="1:13" ht="21.75">
      <c r="A328" s="546"/>
      <c r="B328" s="546"/>
      <c r="C328" s="570"/>
      <c r="D328" s="589" t="s">
        <v>138</v>
      </c>
      <c r="E328" s="570"/>
      <c r="F328" s="577"/>
      <c r="G328" s="577"/>
      <c r="H328" s="558"/>
      <c r="I328" s="548"/>
      <c r="J328" s="548"/>
      <c r="K328" s="548"/>
      <c r="L328" s="558"/>
      <c r="M328" s="546"/>
    </row>
    <row r="329" spans="1:13" ht="21.75">
      <c r="A329" s="546"/>
      <c r="B329" s="546"/>
      <c r="C329" s="570"/>
      <c r="D329" s="589" t="s">
        <v>139</v>
      </c>
      <c r="E329" s="570"/>
      <c r="F329" s="577"/>
      <c r="G329" s="577"/>
      <c r="H329" s="558"/>
      <c r="I329" s="548"/>
      <c r="J329" s="548"/>
      <c r="K329" s="548"/>
      <c r="L329" s="558"/>
      <c r="M329" s="546"/>
    </row>
    <row r="330" spans="1:13" ht="22.5" customHeight="1">
      <c r="A330" s="545"/>
      <c r="B330" s="545" t="s">
        <v>294</v>
      </c>
      <c r="C330" s="548" t="s">
        <v>360</v>
      </c>
      <c r="D330" s="545" t="s">
        <v>1189</v>
      </c>
      <c r="E330" s="548" t="s">
        <v>359</v>
      </c>
      <c r="F330" s="556">
        <v>347000</v>
      </c>
      <c r="G330" s="556">
        <v>347000</v>
      </c>
      <c r="H330" s="548" t="s">
        <v>1306</v>
      </c>
      <c r="I330" s="548">
        <v>739</v>
      </c>
      <c r="J330" s="548" t="s">
        <v>15</v>
      </c>
      <c r="K330" s="548"/>
      <c r="L330" s="558"/>
      <c r="M330" s="546"/>
    </row>
    <row r="331" spans="1:13" ht="23.25" customHeight="1">
      <c r="A331" s="546"/>
      <c r="B331" s="545" t="s">
        <v>294</v>
      </c>
      <c r="C331" s="547" t="s">
        <v>461</v>
      </c>
      <c r="D331" s="545" t="s">
        <v>602</v>
      </c>
      <c r="E331" s="547" t="s">
        <v>720</v>
      </c>
      <c r="F331" s="587">
        <v>349000</v>
      </c>
      <c r="G331" s="587">
        <v>349000</v>
      </c>
      <c r="H331" s="548" t="s">
        <v>1306</v>
      </c>
      <c r="I331" s="548">
        <v>441</v>
      </c>
      <c r="J331" s="548" t="s">
        <v>140</v>
      </c>
      <c r="K331" s="548"/>
      <c r="L331" s="558"/>
      <c r="M331" s="546"/>
    </row>
    <row r="332" spans="1:13" ht="25.5" customHeight="1">
      <c r="A332" s="546"/>
      <c r="B332" s="545"/>
      <c r="C332" s="547"/>
      <c r="D332" s="595" t="s">
        <v>295</v>
      </c>
      <c r="E332" s="600" t="s">
        <v>296</v>
      </c>
      <c r="F332" s="594">
        <v>34200</v>
      </c>
      <c r="G332" s="594">
        <v>34200</v>
      </c>
      <c r="H332" s="591" t="s">
        <v>1178</v>
      </c>
      <c r="I332" s="591">
        <v>556</v>
      </c>
      <c r="J332" s="548" t="s">
        <v>140</v>
      </c>
      <c r="K332" s="548"/>
      <c r="L332" s="558"/>
      <c r="M332" s="546"/>
    </row>
    <row r="333" spans="1:13" ht="33" customHeight="1">
      <c r="A333" s="546"/>
      <c r="B333" s="545" t="s">
        <v>294</v>
      </c>
      <c r="C333" s="616" t="s">
        <v>742</v>
      </c>
      <c r="D333" s="595" t="s">
        <v>291</v>
      </c>
      <c r="E333" s="593" t="s">
        <v>559</v>
      </c>
      <c r="F333" s="594">
        <v>374300</v>
      </c>
      <c r="G333" s="594">
        <v>374300</v>
      </c>
      <c r="H333" s="620" t="s">
        <v>1306</v>
      </c>
      <c r="I333" s="591">
        <v>947</v>
      </c>
      <c r="J333" s="548" t="s">
        <v>1322</v>
      </c>
      <c r="K333" s="548"/>
      <c r="L333" s="558"/>
      <c r="M333" s="546"/>
    </row>
    <row r="334" spans="1:13" ht="29.25" customHeight="1">
      <c r="A334" s="546" t="s">
        <v>1157</v>
      </c>
      <c r="B334" s="545" t="s">
        <v>1218</v>
      </c>
      <c r="C334" s="638" t="s">
        <v>178</v>
      </c>
      <c r="D334" s="671" t="s">
        <v>1213</v>
      </c>
      <c r="E334" s="555" t="s">
        <v>709</v>
      </c>
      <c r="F334" s="556">
        <v>356000</v>
      </c>
      <c r="G334" s="556">
        <v>356000</v>
      </c>
      <c r="H334" s="548" t="s">
        <v>1306</v>
      </c>
      <c r="I334" s="548" t="s">
        <v>596</v>
      </c>
      <c r="J334" s="548" t="s">
        <v>140</v>
      </c>
      <c r="K334" s="548"/>
      <c r="L334" s="558"/>
      <c r="M334" s="546"/>
    </row>
    <row r="335" spans="1:13" ht="21.75">
      <c r="A335" s="546"/>
      <c r="B335" s="545"/>
      <c r="C335" s="638"/>
      <c r="D335" s="589" t="s">
        <v>1214</v>
      </c>
      <c r="E335" s="555"/>
      <c r="F335" s="556"/>
      <c r="G335" s="556"/>
      <c r="H335" s="548"/>
      <c r="I335" s="548" t="s">
        <v>597</v>
      </c>
      <c r="J335" s="548"/>
      <c r="K335" s="548"/>
      <c r="L335" s="558"/>
      <c r="M335" s="546"/>
    </row>
    <row r="336" spans="1:13" ht="21.75">
      <c r="A336" s="630"/>
      <c r="B336" s="630"/>
      <c r="C336" s="564"/>
      <c r="D336" s="631" t="s">
        <v>1215</v>
      </c>
      <c r="E336" s="672"/>
      <c r="F336" s="673"/>
      <c r="G336" s="673"/>
      <c r="H336" s="672"/>
      <c r="I336" s="564" t="s">
        <v>598</v>
      </c>
      <c r="J336" s="672"/>
      <c r="K336" s="672"/>
      <c r="L336" s="631"/>
      <c r="M336" s="569"/>
    </row>
    <row r="337" spans="1:13" ht="18" customHeight="1">
      <c r="A337" s="855" t="s">
        <v>1129</v>
      </c>
      <c r="B337" s="856"/>
      <c r="C337" s="852" t="s">
        <v>85</v>
      </c>
      <c r="D337" s="852" t="s">
        <v>81</v>
      </c>
      <c r="E337" s="852" t="s">
        <v>82</v>
      </c>
      <c r="F337" s="852" t="s">
        <v>83</v>
      </c>
      <c r="G337" s="852" t="s">
        <v>84</v>
      </c>
      <c r="H337" s="852" t="s">
        <v>86</v>
      </c>
      <c r="I337" s="852" t="s">
        <v>1174</v>
      </c>
      <c r="J337" s="852" t="s">
        <v>1175</v>
      </c>
      <c r="K337" s="852" t="s">
        <v>242</v>
      </c>
      <c r="L337" s="852" t="s">
        <v>87</v>
      </c>
      <c r="M337" s="852" t="s">
        <v>1176</v>
      </c>
    </row>
    <row r="338" spans="1:13" ht="21" customHeight="1">
      <c r="A338" s="857"/>
      <c r="B338" s="858"/>
      <c r="C338" s="853"/>
      <c r="D338" s="853"/>
      <c r="E338" s="853"/>
      <c r="F338" s="853"/>
      <c r="G338" s="853"/>
      <c r="H338" s="853"/>
      <c r="I338" s="853"/>
      <c r="J338" s="853"/>
      <c r="K338" s="853"/>
      <c r="L338" s="853"/>
      <c r="M338" s="853"/>
    </row>
    <row r="339" spans="1:13" ht="18.75" customHeight="1">
      <c r="A339" s="859"/>
      <c r="B339" s="860"/>
      <c r="C339" s="854"/>
      <c r="D339" s="854"/>
      <c r="E339" s="854"/>
      <c r="F339" s="854"/>
      <c r="G339" s="854"/>
      <c r="H339" s="854"/>
      <c r="I339" s="854"/>
      <c r="J339" s="854"/>
      <c r="K339" s="854"/>
      <c r="L339" s="854"/>
      <c r="M339" s="854"/>
    </row>
    <row r="340" spans="1:13" ht="21" customHeight="1">
      <c r="A340" s="546"/>
      <c r="B340" s="545"/>
      <c r="C340" s="548" t="s">
        <v>227</v>
      </c>
      <c r="D340" s="589" t="s">
        <v>1216</v>
      </c>
      <c r="E340" s="555" t="s">
        <v>710</v>
      </c>
      <c r="F340" s="562">
        <v>1029000</v>
      </c>
      <c r="G340" s="562">
        <v>1029000</v>
      </c>
      <c r="H340" s="548" t="s">
        <v>1192</v>
      </c>
      <c r="I340" s="548">
        <v>329</v>
      </c>
      <c r="J340" s="548" t="s">
        <v>114</v>
      </c>
      <c r="K340" s="548"/>
      <c r="L340" s="589"/>
      <c r="M340" s="546"/>
    </row>
    <row r="341" spans="1:13" ht="19.5" customHeight="1">
      <c r="A341" s="546"/>
      <c r="B341" s="545"/>
      <c r="C341" s="548"/>
      <c r="D341" s="589" t="s">
        <v>1217</v>
      </c>
      <c r="E341" s="548" t="s">
        <v>600</v>
      </c>
      <c r="F341" s="562">
        <v>2058000</v>
      </c>
      <c r="G341" s="562">
        <v>2058000</v>
      </c>
      <c r="H341" s="548" t="s">
        <v>1193</v>
      </c>
      <c r="I341" s="548">
        <v>428</v>
      </c>
      <c r="J341" s="548"/>
      <c r="K341" s="548"/>
      <c r="L341" s="589"/>
      <c r="M341" s="546"/>
    </row>
    <row r="342" spans="1:13" ht="21.75" customHeight="1">
      <c r="A342" s="546"/>
      <c r="B342" s="545"/>
      <c r="C342" s="548"/>
      <c r="D342" s="589" t="s">
        <v>229</v>
      </c>
      <c r="E342" s="555"/>
      <c r="F342" s="562"/>
      <c r="G342" s="562"/>
      <c r="H342" s="674"/>
      <c r="I342" s="548"/>
      <c r="J342" s="548"/>
      <c r="K342" s="548"/>
      <c r="L342" s="589"/>
      <c r="M342" s="546"/>
    </row>
    <row r="343" spans="1:13" ht="20.25" customHeight="1">
      <c r="A343" s="546"/>
      <c r="B343" s="545"/>
      <c r="C343" s="548"/>
      <c r="D343" s="589" t="s">
        <v>1190</v>
      </c>
      <c r="E343" s="548"/>
      <c r="F343" s="562"/>
      <c r="G343" s="562"/>
      <c r="H343" s="589"/>
      <c r="I343" s="548"/>
      <c r="J343" s="548"/>
      <c r="K343" s="548"/>
      <c r="L343" s="589"/>
      <c r="M343" s="546"/>
    </row>
    <row r="344" spans="1:13" ht="21" customHeight="1">
      <c r="A344" s="546"/>
      <c r="B344" s="545"/>
      <c r="C344" s="548"/>
      <c r="D344" s="589" t="s">
        <v>1191</v>
      </c>
      <c r="E344" s="548"/>
      <c r="F344" s="562"/>
      <c r="G344" s="562"/>
      <c r="H344" s="548"/>
      <c r="I344" s="548"/>
      <c r="J344" s="548"/>
      <c r="K344" s="548"/>
      <c r="L344" s="589"/>
      <c r="M344" s="546"/>
    </row>
    <row r="345" spans="1:13" ht="21" customHeight="1">
      <c r="A345" s="546"/>
      <c r="B345" s="635"/>
      <c r="C345" s="596" t="s">
        <v>745</v>
      </c>
      <c r="D345" s="600" t="s">
        <v>569</v>
      </c>
      <c r="E345" s="665" t="s">
        <v>719</v>
      </c>
      <c r="F345" s="675">
        <v>238000</v>
      </c>
      <c r="G345" s="675">
        <v>238000</v>
      </c>
      <c r="H345" s="591" t="s">
        <v>1306</v>
      </c>
      <c r="I345" s="591" t="s">
        <v>570</v>
      </c>
      <c r="J345" s="591" t="s">
        <v>1313</v>
      </c>
      <c r="K345" s="591"/>
      <c r="L345" s="589"/>
      <c r="M345" s="546"/>
    </row>
    <row r="346" spans="1:13" ht="21" customHeight="1">
      <c r="A346" s="546"/>
      <c r="B346" s="635"/>
      <c r="C346" s="591" t="s">
        <v>1212</v>
      </c>
      <c r="D346" s="595" t="s">
        <v>556</v>
      </c>
      <c r="E346" s="593" t="s">
        <v>557</v>
      </c>
      <c r="F346" s="676">
        <v>522500</v>
      </c>
      <c r="G346" s="676">
        <v>522500</v>
      </c>
      <c r="H346" s="591" t="s">
        <v>1306</v>
      </c>
      <c r="I346" s="591" t="s">
        <v>558</v>
      </c>
      <c r="J346" s="591" t="s">
        <v>1313</v>
      </c>
      <c r="K346" s="591"/>
      <c r="L346" s="589"/>
      <c r="M346" s="546"/>
    </row>
    <row r="347" spans="1:13" ht="23.25" customHeight="1">
      <c r="A347" s="546"/>
      <c r="B347" s="635"/>
      <c r="C347" s="596" t="s">
        <v>1016</v>
      </c>
      <c r="D347" s="600" t="s">
        <v>1015</v>
      </c>
      <c r="E347" s="665" t="s">
        <v>1017</v>
      </c>
      <c r="F347" s="675">
        <v>234900</v>
      </c>
      <c r="G347" s="675">
        <v>234900</v>
      </c>
      <c r="H347" s="591" t="s">
        <v>1306</v>
      </c>
      <c r="I347" s="548" t="s">
        <v>1018</v>
      </c>
      <c r="J347" s="596"/>
      <c r="K347" s="596"/>
      <c r="L347" s="589"/>
      <c r="M347" s="546"/>
    </row>
    <row r="348" spans="1:13" ht="23.25" customHeight="1">
      <c r="A348" s="546" t="s">
        <v>1158</v>
      </c>
      <c r="B348" s="545" t="s">
        <v>298</v>
      </c>
      <c r="C348" s="638" t="s">
        <v>111</v>
      </c>
      <c r="D348" s="589" t="s">
        <v>112</v>
      </c>
      <c r="E348" s="555" t="s">
        <v>699</v>
      </c>
      <c r="F348" s="562">
        <v>1539049</v>
      </c>
      <c r="G348" s="562">
        <v>1539049</v>
      </c>
      <c r="H348" s="548" t="s">
        <v>113</v>
      </c>
      <c r="I348" s="548" t="s">
        <v>601</v>
      </c>
      <c r="J348" s="548" t="s">
        <v>114</v>
      </c>
      <c r="K348" s="582"/>
      <c r="L348" s="589"/>
      <c r="M348" s="546"/>
    </row>
    <row r="349" spans="1:13" ht="23.25" customHeight="1">
      <c r="A349" s="546"/>
      <c r="B349" s="546"/>
      <c r="C349" s="570"/>
      <c r="D349" s="589" t="s">
        <v>115</v>
      </c>
      <c r="E349" s="570"/>
      <c r="F349" s="577"/>
      <c r="G349" s="577"/>
      <c r="H349" s="558"/>
      <c r="I349" s="558"/>
      <c r="J349" s="558"/>
      <c r="K349" s="560"/>
      <c r="L349" s="589"/>
      <c r="M349" s="546"/>
    </row>
    <row r="350" spans="1:13" ht="24" customHeight="1">
      <c r="A350" s="546"/>
      <c r="B350" s="546"/>
      <c r="C350" s="570"/>
      <c r="D350" s="589" t="s">
        <v>116</v>
      </c>
      <c r="E350" s="570"/>
      <c r="F350" s="577"/>
      <c r="G350" s="577"/>
      <c r="H350" s="558"/>
      <c r="I350" s="558"/>
      <c r="J350" s="558"/>
      <c r="K350" s="560"/>
      <c r="L350" s="589"/>
      <c r="M350" s="546"/>
    </row>
    <row r="351" spans="1:13" ht="18.75" customHeight="1">
      <c r="A351" s="546"/>
      <c r="B351" s="546"/>
      <c r="C351" s="638" t="s">
        <v>1021</v>
      </c>
      <c r="D351" s="589" t="s">
        <v>1022</v>
      </c>
      <c r="E351" s="570" t="s">
        <v>1025</v>
      </c>
      <c r="F351" s="577">
        <v>1210000</v>
      </c>
      <c r="G351" s="577">
        <v>1210000</v>
      </c>
      <c r="H351" s="548" t="s">
        <v>113</v>
      </c>
      <c r="I351" s="558" t="s">
        <v>1026</v>
      </c>
      <c r="J351" s="558"/>
      <c r="K351" s="560"/>
      <c r="L351" s="589"/>
      <c r="M351" s="546"/>
    </row>
    <row r="352" spans="1:13" ht="21.75">
      <c r="A352" s="546"/>
      <c r="B352" s="546"/>
      <c r="C352" s="570"/>
      <c r="D352" s="589" t="s">
        <v>1023</v>
      </c>
      <c r="E352" s="570"/>
      <c r="F352" s="577"/>
      <c r="G352" s="577"/>
      <c r="H352" s="558"/>
      <c r="I352" s="558"/>
      <c r="J352" s="558"/>
      <c r="K352" s="560"/>
      <c r="L352" s="589"/>
      <c r="M352" s="546"/>
    </row>
    <row r="353" spans="1:13" ht="21.75" customHeight="1">
      <c r="A353" s="545"/>
      <c r="B353" s="546"/>
      <c r="C353" s="570"/>
      <c r="D353" s="589" t="s">
        <v>1024</v>
      </c>
      <c r="E353" s="570"/>
      <c r="F353" s="578"/>
      <c r="G353" s="578"/>
      <c r="H353" s="570"/>
      <c r="I353" s="570"/>
      <c r="J353" s="570"/>
      <c r="K353" s="662"/>
      <c r="L353" s="589"/>
      <c r="M353" s="546"/>
    </row>
    <row r="354" spans="1:13" ht="21.75">
      <c r="A354" s="546" t="s">
        <v>1159</v>
      </c>
      <c r="B354" s="589" t="s">
        <v>90</v>
      </c>
      <c r="C354" s="548" t="s">
        <v>1171</v>
      </c>
      <c r="D354" s="589" t="s">
        <v>162</v>
      </c>
      <c r="E354" s="555" t="s">
        <v>707</v>
      </c>
      <c r="F354" s="556">
        <v>283500</v>
      </c>
      <c r="G354" s="556">
        <v>283500</v>
      </c>
      <c r="H354" s="548" t="s">
        <v>1306</v>
      </c>
      <c r="I354" s="548" t="s">
        <v>595</v>
      </c>
      <c r="J354" s="548" t="s">
        <v>114</v>
      </c>
      <c r="K354" s="548"/>
      <c r="L354" s="589"/>
      <c r="M354" s="546"/>
    </row>
    <row r="355" spans="1:13" ht="21.75">
      <c r="A355" s="635"/>
      <c r="B355" s="546"/>
      <c r="C355" s="570"/>
      <c r="D355" s="589" t="s">
        <v>163</v>
      </c>
      <c r="E355" s="570"/>
      <c r="F355" s="577"/>
      <c r="G355" s="577"/>
      <c r="H355" s="558"/>
      <c r="I355" s="548"/>
      <c r="J355" s="548"/>
      <c r="K355" s="548"/>
      <c r="L355" s="589"/>
      <c r="M355" s="546"/>
    </row>
    <row r="356" spans="1:13" ht="21.75">
      <c r="A356" s="545"/>
      <c r="B356" s="546"/>
      <c r="C356" s="570"/>
      <c r="D356" s="589" t="s">
        <v>164</v>
      </c>
      <c r="E356" s="570"/>
      <c r="F356" s="578"/>
      <c r="G356" s="578"/>
      <c r="H356" s="570"/>
      <c r="I356" s="570"/>
      <c r="J356" s="570"/>
      <c r="K356" s="570"/>
      <c r="L356" s="589"/>
      <c r="M356" s="546"/>
    </row>
    <row r="357" spans="1:13" ht="21.75">
      <c r="A357" s="545"/>
      <c r="B357" s="546"/>
      <c r="C357" s="570"/>
      <c r="D357" s="589" t="s">
        <v>165</v>
      </c>
      <c r="E357" s="570"/>
      <c r="F357" s="578"/>
      <c r="G357" s="578"/>
      <c r="H357" s="570"/>
      <c r="I357" s="570"/>
      <c r="J357" s="570"/>
      <c r="K357" s="570"/>
      <c r="L357" s="589"/>
      <c r="M357" s="546"/>
    </row>
    <row r="358" spans="1:13" ht="21.75">
      <c r="A358" s="545"/>
      <c r="B358" s="546"/>
      <c r="C358" s="570"/>
      <c r="D358" s="589" t="s">
        <v>116</v>
      </c>
      <c r="E358" s="570"/>
      <c r="F358" s="578"/>
      <c r="G358" s="578"/>
      <c r="H358" s="578"/>
      <c r="I358" s="570"/>
      <c r="J358" s="570"/>
      <c r="K358" s="570"/>
      <c r="L358" s="589"/>
      <c r="M358" s="546"/>
    </row>
    <row r="359" spans="1:13" ht="21.75">
      <c r="A359" s="545"/>
      <c r="B359" s="558"/>
      <c r="C359" s="570"/>
      <c r="D359" s="589" t="s">
        <v>862</v>
      </c>
      <c r="E359" s="570" t="s">
        <v>863</v>
      </c>
      <c r="F359" s="556">
        <v>170000</v>
      </c>
      <c r="G359" s="556">
        <v>170000</v>
      </c>
      <c r="H359" s="548" t="s">
        <v>1306</v>
      </c>
      <c r="I359" s="548">
        <v>55</v>
      </c>
      <c r="J359" s="591" t="s">
        <v>1313</v>
      </c>
      <c r="K359" s="548"/>
      <c r="L359" s="589"/>
      <c r="M359" s="546"/>
    </row>
    <row r="360" spans="1:13" ht="21.75">
      <c r="A360" s="546" t="s">
        <v>1161</v>
      </c>
      <c r="B360" s="545" t="s">
        <v>1211</v>
      </c>
      <c r="C360" s="548" t="s">
        <v>230</v>
      </c>
      <c r="D360" s="589" t="s">
        <v>231</v>
      </c>
      <c r="E360" s="555" t="s">
        <v>711</v>
      </c>
      <c r="F360" s="556">
        <v>246467</v>
      </c>
      <c r="G360" s="556">
        <v>246467</v>
      </c>
      <c r="H360" s="548" t="s">
        <v>233</v>
      </c>
      <c r="I360" s="548">
        <v>241</v>
      </c>
      <c r="J360" s="548" t="s">
        <v>16</v>
      </c>
      <c r="K360" s="548"/>
      <c r="L360" s="545"/>
      <c r="M360" s="546"/>
    </row>
    <row r="361" spans="1:13" ht="21.75">
      <c r="A361" s="545"/>
      <c r="B361" s="545"/>
      <c r="C361" s="548"/>
      <c r="D361" s="589" t="s">
        <v>232</v>
      </c>
      <c r="E361" s="548" t="s">
        <v>712</v>
      </c>
      <c r="F361" s="562"/>
      <c r="G361" s="562"/>
      <c r="H361" s="589"/>
      <c r="I361" s="548">
        <v>242</v>
      </c>
      <c r="J361" s="548"/>
      <c r="K361" s="548"/>
      <c r="L361" s="589"/>
      <c r="M361" s="546"/>
    </row>
    <row r="362" spans="1:13" ht="26.25" customHeight="1">
      <c r="A362" s="630"/>
      <c r="B362" s="630"/>
      <c r="C362" s="564"/>
      <c r="D362" s="631" t="s">
        <v>297</v>
      </c>
      <c r="E362" s="564"/>
      <c r="F362" s="677"/>
      <c r="G362" s="677"/>
      <c r="H362" s="564"/>
      <c r="I362" s="678">
        <v>477485</v>
      </c>
      <c r="J362" s="564"/>
      <c r="K362" s="564"/>
      <c r="L362" s="631"/>
      <c r="M362" s="569"/>
    </row>
    <row r="363" spans="1:13" ht="18.75" customHeight="1">
      <c r="A363" s="855" t="s">
        <v>1129</v>
      </c>
      <c r="B363" s="856"/>
      <c r="C363" s="852" t="s">
        <v>85</v>
      </c>
      <c r="D363" s="852" t="s">
        <v>81</v>
      </c>
      <c r="E363" s="852" t="s">
        <v>82</v>
      </c>
      <c r="F363" s="852" t="s">
        <v>83</v>
      </c>
      <c r="G363" s="852" t="s">
        <v>84</v>
      </c>
      <c r="H363" s="852" t="s">
        <v>86</v>
      </c>
      <c r="I363" s="852" t="s">
        <v>1174</v>
      </c>
      <c r="J363" s="852" t="s">
        <v>1175</v>
      </c>
      <c r="K363" s="852" t="s">
        <v>242</v>
      </c>
      <c r="L363" s="852" t="s">
        <v>87</v>
      </c>
      <c r="M363" s="852" t="s">
        <v>1176</v>
      </c>
    </row>
    <row r="364" spans="1:13" ht="18" customHeight="1">
      <c r="A364" s="857"/>
      <c r="B364" s="858"/>
      <c r="C364" s="853"/>
      <c r="D364" s="853"/>
      <c r="E364" s="853"/>
      <c r="F364" s="853"/>
      <c r="G364" s="853"/>
      <c r="H364" s="853"/>
      <c r="I364" s="853"/>
      <c r="J364" s="853"/>
      <c r="K364" s="853"/>
      <c r="L364" s="853"/>
      <c r="M364" s="853"/>
    </row>
    <row r="365" spans="1:13" ht="20.25" customHeight="1">
      <c r="A365" s="859"/>
      <c r="B365" s="860"/>
      <c r="C365" s="854"/>
      <c r="D365" s="854"/>
      <c r="E365" s="854"/>
      <c r="F365" s="854"/>
      <c r="G365" s="854"/>
      <c r="H365" s="854"/>
      <c r="I365" s="854"/>
      <c r="J365" s="854"/>
      <c r="K365" s="854"/>
      <c r="L365" s="854"/>
      <c r="M365" s="854"/>
    </row>
    <row r="366" spans="1:13" ht="30" customHeight="1">
      <c r="A366" s="637" t="s">
        <v>1160</v>
      </c>
      <c r="B366" s="545" t="s">
        <v>1202</v>
      </c>
      <c r="C366" s="548" t="s">
        <v>299</v>
      </c>
      <c r="D366" s="545" t="s">
        <v>353</v>
      </c>
      <c r="E366" s="548" t="s">
        <v>354</v>
      </c>
      <c r="F366" s="556">
        <v>327500</v>
      </c>
      <c r="G366" s="556">
        <v>327500</v>
      </c>
      <c r="H366" s="548" t="s">
        <v>1306</v>
      </c>
      <c r="I366" s="548">
        <v>506</v>
      </c>
      <c r="J366" s="547" t="s">
        <v>136</v>
      </c>
      <c r="K366" s="547"/>
      <c r="L366" s="584"/>
      <c r="M366" s="546"/>
    </row>
    <row r="367" spans="1:13" ht="27.75" customHeight="1">
      <c r="A367" s="545"/>
      <c r="B367" s="545" t="s">
        <v>1202</v>
      </c>
      <c r="C367" s="591" t="s">
        <v>1194</v>
      </c>
      <c r="D367" s="545" t="s">
        <v>353</v>
      </c>
      <c r="E367" s="548" t="s">
        <v>355</v>
      </c>
      <c r="F367" s="556">
        <v>371500</v>
      </c>
      <c r="G367" s="556">
        <v>371500</v>
      </c>
      <c r="H367" s="548" t="s">
        <v>1306</v>
      </c>
      <c r="I367" s="548">
        <v>527</v>
      </c>
      <c r="J367" s="547" t="s">
        <v>351</v>
      </c>
      <c r="K367" s="547"/>
      <c r="L367" s="584"/>
      <c r="M367" s="546"/>
    </row>
    <row r="368" spans="1:13" ht="27.75" customHeight="1">
      <c r="A368" s="545"/>
      <c r="B368" s="545" t="s">
        <v>1202</v>
      </c>
      <c r="C368" s="547" t="s">
        <v>1195</v>
      </c>
      <c r="D368" s="545" t="s">
        <v>353</v>
      </c>
      <c r="E368" s="548" t="s">
        <v>355</v>
      </c>
      <c r="F368" s="556">
        <v>93500</v>
      </c>
      <c r="G368" s="556">
        <v>93500</v>
      </c>
      <c r="H368" s="548" t="s">
        <v>1306</v>
      </c>
      <c r="I368" s="548">
        <v>528</v>
      </c>
      <c r="J368" s="547" t="s">
        <v>352</v>
      </c>
      <c r="K368" s="547"/>
      <c r="L368" s="600"/>
      <c r="M368" s="546"/>
    </row>
    <row r="369" spans="1:13" ht="31.5" customHeight="1">
      <c r="A369" s="545"/>
      <c r="B369" s="545" t="s">
        <v>1202</v>
      </c>
      <c r="C369" s="547" t="s">
        <v>462</v>
      </c>
      <c r="D369" s="545" t="s">
        <v>603</v>
      </c>
      <c r="E369" s="593" t="s">
        <v>1197</v>
      </c>
      <c r="F369" s="587">
        <v>244500</v>
      </c>
      <c r="G369" s="587">
        <v>244500</v>
      </c>
      <c r="H369" s="548" t="s">
        <v>1306</v>
      </c>
      <c r="I369" s="548">
        <v>821</v>
      </c>
      <c r="J369" s="547" t="s">
        <v>352</v>
      </c>
      <c r="K369" s="547"/>
      <c r="L369" s="600"/>
      <c r="M369" s="546"/>
    </row>
    <row r="370" spans="1:13" ht="33" customHeight="1">
      <c r="A370" s="545"/>
      <c r="B370" s="545" t="s">
        <v>1202</v>
      </c>
      <c r="C370" s="547" t="s">
        <v>496</v>
      </c>
      <c r="D370" s="545" t="s">
        <v>1196</v>
      </c>
      <c r="E370" s="593" t="s">
        <v>725</v>
      </c>
      <c r="F370" s="587">
        <v>586000</v>
      </c>
      <c r="G370" s="587">
        <v>586000</v>
      </c>
      <c r="H370" s="548" t="s">
        <v>1306</v>
      </c>
      <c r="I370" s="548">
        <v>821</v>
      </c>
      <c r="J370" s="547" t="s">
        <v>1322</v>
      </c>
      <c r="K370" s="547"/>
      <c r="L370" s="600"/>
      <c r="M370" s="546"/>
    </row>
    <row r="371" spans="1:13" ht="34.5" customHeight="1">
      <c r="A371" s="545"/>
      <c r="B371" s="545"/>
      <c r="C371" s="547"/>
      <c r="D371" s="595" t="s">
        <v>1205</v>
      </c>
      <c r="E371" s="679" t="s">
        <v>1206</v>
      </c>
      <c r="F371" s="680">
        <v>198400</v>
      </c>
      <c r="G371" s="680">
        <v>198400</v>
      </c>
      <c r="H371" s="591" t="s">
        <v>1306</v>
      </c>
      <c r="I371" s="591">
        <v>659</v>
      </c>
      <c r="J371" s="547" t="s">
        <v>1207</v>
      </c>
      <c r="K371" s="547"/>
      <c r="L371" s="600"/>
      <c r="M371" s="546"/>
    </row>
    <row r="372" spans="1:13" ht="26.25" customHeight="1">
      <c r="A372" s="545"/>
      <c r="B372" s="545" t="s">
        <v>1202</v>
      </c>
      <c r="C372" s="591" t="s">
        <v>301</v>
      </c>
      <c r="D372" s="595" t="s">
        <v>1198</v>
      </c>
      <c r="E372" s="607" t="s">
        <v>728</v>
      </c>
      <c r="F372" s="610">
        <v>296000</v>
      </c>
      <c r="G372" s="610">
        <v>296000</v>
      </c>
      <c r="H372" s="591" t="s">
        <v>1306</v>
      </c>
      <c r="I372" s="591">
        <v>201</v>
      </c>
      <c r="J372" s="547" t="s">
        <v>352</v>
      </c>
      <c r="K372" s="547"/>
      <c r="L372" s="595"/>
      <c r="M372" s="546"/>
    </row>
    <row r="373" spans="1:13" ht="31.5" customHeight="1">
      <c r="A373" s="545"/>
      <c r="B373" s="545" t="s">
        <v>1202</v>
      </c>
      <c r="C373" s="591" t="s">
        <v>302</v>
      </c>
      <c r="D373" s="595" t="s">
        <v>1199</v>
      </c>
      <c r="E373" s="593" t="s">
        <v>731</v>
      </c>
      <c r="F373" s="610">
        <v>107000</v>
      </c>
      <c r="G373" s="610">
        <v>107000</v>
      </c>
      <c r="H373" s="591" t="s">
        <v>1306</v>
      </c>
      <c r="I373" s="591">
        <v>1150</v>
      </c>
      <c r="J373" s="547" t="s">
        <v>5</v>
      </c>
      <c r="K373" s="547"/>
      <c r="L373" s="595"/>
      <c r="M373" s="546"/>
    </row>
    <row r="374" spans="1:13" ht="25.5" customHeight="1">
      <c r="A374" s="545"/>
      <c r="B374" s="545" t="s">
        <v>1202</v>
      </c>
      <c r="C374" s="591" t="s">
        <v>1120</v>
      </c>
      <c r="D374" s="595" t="s">
        <v>1200</v>
      </c>
      <c r="E374" s="679" t="s">
        <v>1201</v>
      </c>
      <c r="F374" s="681">
        <v>176000</v>
      </c>
      <c r="G374" s="681">
        <v>176000</v>
      </c>
      <c r="H374" s="591" t="s">
        <v>1306</v>
      </c>
      <c r="I374" s="591">
        <v>822</v>
      </c>
      <c r="J374" s="547" t="s">
        <v>2</v>
      </c>
      <c r="K374" s="547"/>
      <c r="L374" s="595"/>
      <c r="M374" s="546"/>
    </row>
    <row r="375" spans="1:13" ht="31.5" customHeight="1">
      <c r="A375" s="545"/>
      <c r="B375" s="545"/>
      <c r="C375" s="633"/>
      <c r="D375" s="573" t="s">
        <v>1253</v>
      </c>
      <c r="E375" s="679"/>
      <c r="F375" s="681"/>
      <c r="G375" s="681"/>
      <c r="H375" s="627"/>
      <c r="I375" s="591"/>
      <c r="J375" s="596"/>
      <c r="K375" s="596"/>
      <c r="L375" s="600"/>
      <c r="M375" s="546"/>
    </row>
    <row r="376" spans="1:13" ht="28.5" customHeight="1">
      <c r="A376" s="546" t="s">
        <v>1162</v>
      </c>
      <c r="B376" s="545" t="s">
        <v>1203</v>
      </c>
      <c r="C376" s="682" t="s">
        <v>357</v>
      </c>
      <c r="D376" s="589" t="s">
        <v>358</v>
      </c>
      <c r="E376" s="548" t="s">
        <v>359</v>
      </c>
      <c r="F376" s="556">
        <v>19700</v>
      </c>
      <c r="G376" s="556">
        <v>137900</v>
      </c>
      <c r="H376" s="548" t="s">
        <v>1306</v>
      </c>
      <c r="I376" s="548">
        <v>735</v>
      </c>
      <c r="J376" s="548" t="s">
        <v>1204</v>
      </c>
      <c r="K376" s="548"/>
      <c r="L376" s="588"/>
      <c r="M376" s="546"/>
    </row>
    <row r="377" spans="1:13" ht="30.75" customHeight="1">
      <c r="A377" s="635"/>
      <c r="B377" s="545" t="s">
        <v>356</v>
      </c>
      <c r="C377" s="589"/>
      <c r="D377" s="589"/>
      <c r="E377" s="548"/>
      <c r="F377" s="556"/>
      <c r="G377" s="556"/>
      <c r="H377" s="548"/>
      <c r="I377" s="548"/>
      <c r="J377" s="548"/>
      <c r="K377" s="548"/>
      <c r="L377" s="588"/>
      <c r="M377" s="546"/>
    </row>
    <row r="378" spans="1:13" ht="28.5" customHeight="1">
      <c r="A378" s="546" t="s">
        <v>1173</v>
      </c>
      <c r="B378" s="595" t="s">
        <v>463</v>
      </c>
      <c r="C378" s="591" t="s">
        <v>303</v>
      </c>
      <c r="D378" s="589" t="s">
        <v>300</v>
      </c>
      <c r="E378" s="598" t="s">
        <v>721</v>
      </c>
      <c r="F378" s="556">
        <v>311000</v>
      </c>
      <c r="G378" s="556">
        <v>311000</v>
      </c>
      <c r="H378" s="548" t="s">
        <v>1306</v>
      </c>
      <c r="I378" s="548">
        <v>479</v>
      </c>
      <c r="J378" s="547" t="s">
        <v>1322</v>
      </c>
      <c r="K378" s="547"/>
      <c r="L378" s="588"/>
      <c r="M378" s="546"/>
    </row>
    <row r="379" spans="1:13" ht="28.5" customHeight="1">
      <c r="A379" s="595"/>
      <c r="B379" s="595"/>
      <c r="C379" s="591" t="s">
        <v>748</v>
      </c>
      <c r="D379" s="592" t="s">
        <v>585</v>
      </c>
      <c r="E379" s="593" t="s">
        <v>586</v>
      </c>
      <c r="F379" s="594">
        <v>1290000</v>
      </c>
      <c r="G379" s="594">
        <v>1290000</v>
      </c>
      <c r="H379" s="683" t="s">
        <v>1306</v>
      </c>
      <c r="I379" s="591">
        <v>659</v>
      </c>
      <c r="J379" s="591" t="s">
        <v>1313</v>
      </c>
      <c r="K379" s="591"/>
      <c r="L379" s="609"/>
      <c r="M379" s="546"/>
    </row>
    <row r="380" spans="1:13" ht="28.5" customHeight="1">
      <c r="A380" s="595"/>
      <c r="B380" s="614"/>
      <c r="C380" s="591" t="s">
        <v>749</v>
      </c>
      <c r="D380" s="595" t="s">
        <v>306</v>
      </c>
      <c r="E380" s="593" t="s">
        <v>606</v>
      </c>
      <c r="F380" s="594">
        <v>2597000</v>
      </c>
      <c r="G380" s="594">
        <v>2597000</v>
      </c>
      <c r="H380" s="683" t="s">
        <v>607</v>
      </c>
      <c r="I380" s="591">
        <v>1019</v>
      </c>
      <c r="J380" s="591" t="s">
        <v>1313</v>
      </c>
      <c r="K380" s="591"/>
      <c r="L380" s="588"/>
      <c r="M380" s="546"/>
    </row>
    <row r="381" spans="1:13" ht="21.75">
      <c r="A381" s="595"/>
      <c r="B381" s="614"/>
      <c r="C381" s="591"/>
      <c r="D381" s="706" t="s">
        <v>1208</v>
      </c>
      <c r="E381" s="665"/>
      <c r="F381" s="594"/>
      <c r="G381" s="594"/>
      <c r="H381" s="683"/>
      <c r="I381" s="591"/>
      <c r="J381" s="591"/>
      <c r="K381" s="591"/>
      <c r="L381" s="588"/>
      <c r="M381" s="546"/>
    </row>
    <row r="382" spans="1:13" ht="21.75">
      <c r="A382" s="595"/>
      <c r="B382" s="614"/>
      <c r="C382" s="591"/>
      <c r="D382" s="600" t="s">
        <v>1019</v>
      </c>
      <c r="E382" s="665"/>
      <c r="F382" s="599">
        <v>422000</v>
      </c>
      <c r="G382" s="599">
        <v>422000</v>
      </c>
      <c r="H382" s="683" t="s">
        <v>1306</v>
      </c>
      <c r="I382" s="591" t="s">
        <v>1020</v>
      </c>
      <c r="J382" s="591"/>
      <c r="K382" s="591"/>
      <c r="L382" s="588"/>
      <c r="M382" s="546"/>
    </row>
    <row r="383" spans="1:13" ht="21.75">
      <c r="A383" s="617"/>
      <c r="B383" s="783"/>
      <c r="C383" s="618"/>
      <c r="D383" s="784" t="s">
        <v>1153</v>
      </c>
      <c r="E383" s="785"/>
      <c r="F383" s="668"/>
      <c r="G383" s="668"/>
      <c r="H383" s="786"/>
      <c r="I383" s="618"/>
      <c r="J383" s="618"/>
      <c r="K383" s="618"/>
      <c r="L383" s="634"/>
      <c r="M383" s="569"/>
    </row>
    <row r="384" spans="1:13" ht="18.75" customHeight="1">
      <c r="A384" s="855" t="s">
        <v>1129</v>
      </c>
      <c r="B384" s="856"/>
      <c r="C384" s="852" t="s">
        <v>85</v>
      </c>
      <c r="D384" s="852" t="s">
        <v>81</v>
      </c>
      <c r="E384" s="852" t="s">
        <v>82</v>
      </c>
      <c r="F384" s="852" t="s">
        <v>83</v>
      </c>
      <c r="G384" s="852" t="s">
        <v>84</v>
      </c>
      <c r="H384" s="852" t="s">
        <v>86</v>
      </c>
      <c r="I384" s="852" t="s">
        <v>1174</v>
      </c>
      <c r="J384" s="852" t="s">
        <v>1175</v>
      </c>
      <c r="K384" s="852" t="s">
        <v>242</v>
      </c>
      <c r="L384" s="852" t="s">
        <v>87</v>
      </c>
      <c r="M384" s="852" t="s">
        <v>1176</v>
      </c>
    </row>
    <row r="385" spans="1:13" ht="16.5" customHeight="1">
      <c r="A385" s="857"/>
      <c r="B385" s="858"/>
      <c r="C385" s="853"/>
      <c r="D385" s="853"/>
      <c r="E385" s="853"/>
      <c r="F385" s="853"/>
      <c r="G385" s="853"/>
      <c r="H385" s="853"/>
      <c r="I385" s="853"/>
      <c r="J385" s="853"/>
      <c r="K385" s="853"/>
      <c r="L385" s="853"/>
      <c r="M385" s="853"/>
    </row>
    <row r="386" spans="1:13" ht="19.5" customHeight="1">
      <c r="A386" s="859"/>
      <c r="B386" s="860"/>
      <c r="C386" s="854"/>
      <c r="D386" s="854"/>
      <c r="E386" s="854"/>
      <c r="F386" s="854"/>
      <c r="G386" s="854"/>
      <c r="H386" s="854"/>
      <c r="I386" s="854"/>
      <c r="J386" s="854"/>
      <c r="K386" s="854"/>
      <c r="L386" s="854"/>
      <c r="M386" s="854"/>
    </row>
    <row r="387" spans="1:13" ht="21.75" customHeight="1">
      <c r="A387" s="637" t="s">
        <v>255</v>
      </c>
      <c r="B387" s="595"/>
      <c r="C387" s="591" t="s">
        <v>1209</v>
      </c>
      <c r="D387" s="595" t="s">
        <v>604</v>
      </c>
      <c r="E387" s="593" t="s">
        <v>732</v>
      </c>
      <c r="F387" s="594">
        <v>1280000</v>
      </c>
      <c r="G387" s="676">
        <v>1280000</v>
      </c>
      <c r="H387" s="591" t="s">
        <v>1306</v>
      </c>
      <c r="I387" s="591">
        <v>123</v>
      </c>
      <c r="J387" s="609" t="s">
        <v>674</v>
      </c>
      <c r="K387" s="609"/>
      <c r="L387" s="588"/>
      <c r="M387" s="558"/>
    </row>
    <row r="388" spans="1:13" ht="19.5" customHeight="1">
      <c r="A388" s="595"/>
      <c r="B388" s="595"/>
      <c r="C388" s="609"/>
      <c r="D388" s="595" t="s">
        <v>605</v>
      </c>
      <c r="E388" s="593"/>
      <c r="F388" s="593"/>
      <c r="G388" s="682"/>
      <c r="H388" s="596"/>
      <c r="I388" s="591"/>
      <c r="J388" s="591"/>
      <c r="K388" s="591"/>
      <c r="L388" s="588"/>
      <c r="M388" s="558"/>
    </row>
    <row r="389" spans="1:13" ht="19.5" customHeight="1">
      <c r="A389" s="546" t="s">
        <v>640</v>
      </c>
      <c r="B389" s="589" t="s">
        <v>304</v>
      </c>
      <c r="C389" s="591" t="s">
        <v>744</v>
      </c>
      <c r="D389" s="589" t="s">
        <v>304</v>
      </c>
      <c r="E389" s="598" t="s">
        <v>305</v>
      </c>
      <c r="F389" s="556">
        <v>318000</v>
      </c>
      <c r="G389" s="562">
        <v>318000</v>
      </c>
      <c r="H389" s="548" t="s">
        <v>1306</v>
      </c>
      <c r="I389" s="548">
        <v>141</v>
      </c>
      <c r="J389" s="547" t="s">
        <v>15</v>
      </c>
      <c r="K389" s="547"/>
      <c r="L389" s="588"/>
      <c r="M389" s="558"/>
    </row>
    <row r="390" spans="1:14" ht="21.75" customHeight="1">
      <c r="A390" s="595"/>
      <c r="B390" s="595"/>
      <c r="C390" s="591" t="s">
        <v>1210</v>
      </c>
      <c r="D390" s="589" t="s">
        <v>304</v>
      </c>
      <c r="E390" s="593" t="s">
        <v>512</v>
      </c>
      <c r="F390" s="556">
        <v>318000</v>
      </c>
      <c r="G390" s="562">
        <v>318000</v>
      </c>
      <c r="H390" s="548" t="s">
        <v>1306</v>
      </c>
      <c r="I390" s="548">
        <v>434</v>
      </c>
      <c r="J390" s="547" t="s">
        <v>2</v>
      </c>
      <c r="K390" s="547"/>
      <c r="L390" s="588"/>
      <c r="M390" s="558"/>
      <c r="N390" s="8"/>
    </row>
    <row r="391" spans="1:14" ht="19.5" customHeight="1">
      <c r="A391" s="546" t="s">
        <v>641</v>
      </c>
      <c r="B391" s="595" t="s">
        <v>1252</v>
      </c>
      <c r="C391" s="591"/>
      <c r="D391" s="595" t="s">
        <v>1219</v>
      </c>
      <c r="E391" s="593" t="s">
        <v>568</v>
      </c>
      <c r="F391" s="594">
        <v>760000</v>
      </c>
      <c r="G391" s="676">
        <v>760000</v>
      </c>
      <c r="H391" s="591" t="s">
        <v>1306</v>
      </c>
      <c r="I391" s="591">
        <v>5</v>
      </c>
      <c r="J391" s="591"/>
      <c r="K391" s="591"/>
      <c r="L391" s="588"/>
      <c r="M391" s="558"/>
      <c r="N391" s="8"/>
    </row>
    <row r="392" spans="1:14" ht="22.5" customHeight="1">
      <c r="A392" s="595"/>
      <c r="B392" s="595"/>
      <c r="C392" s="591"/>
      <c r="D392" s="595" t="s">
        <v>560</v>
      </c>
      <c r="E392" s="593" t="s">
        <v>561</v>
      </c>
      <c r="F392" s="594">
        <v>158000</v>
      </c>
      <c r="G392" s="676">
        <v>158000</v>
      </c>
      <c r="H392" s="591" t="s">
        <v>1306</v>
      </c>
      <c r="I392" s="591">
        <v>590</v>
      </c>
      <c r="J392" s="547" t="s">
        <v>351</v>
      </c>
      <c r="K392" s="547"/>
      <c r="L392" s="588"/>
      <c r="M392" s="558"/>
      <c r="N392" s="864"/>
    </row>
    <row r="393" spans="1:14" ht="24" customHeight="1">
      <c r="A393" s="546" t="s">
        <v>642</v>
      </c>
      <c r="B393" s="595" t="s">
        <v>975</v>
      </c>
      <c r="C393" s="595"/>
      <c r="D393" s="595" t="s">
        <v>1251</v>
      </c>
      <c r="E393" s="593" t="s">
        <v>571</v>
      </c>
      <c r="F393" s="594">
        <v>66500</v>
      </c>
      <c r="G393" s="676">
        <v>66500</v>
      </c>
      <c r="H393" s="591" t="s">
        <v>1306</v>
      </c>
      <c r="I393" s="591">
        <v>42</v>
      </c>
      <c r="J393" s="591" t="s">
        <v>1313</v>
      </c>
      <c r="K393" s="591"/>
      <c r="L393" s="588"/>
      <c r="M393" s="558"/>
      <c r="N393" s="864"/>
    </row>
    <row r="394" spans="1:13" ht="21" customHeight="1">
      <c r="A394" s="546" t="s">
        <v>643</v>
      </c>
      <c r="B394" s="595" t="s">
        <v>581</v>
      </c>
      <c r="C394" s="588"/>
      <c r="D394" s="595" t="s">
        <v>562</v>
      </c>
      <c r="E394" s="593" t="s">
        <v>563</v>
      </c>
      <c r="F394" s="648">
        <v>17300</v>
      </c>
      <c r="G394" s="685">
        <v>17300</v>
      </c>
      <c r="H394" s="591" t="s">
        <v>1178</v>
      </c>
      <c r="I394" s="591">
        <v>852</v>
      </c>
      <c r="J394" s="591" t="s">
        <v>1314</v>
      </c>
      <c r="K394" s="591"/>
      <c r="L394" s="588"/>
      <c r="M394" s="558"/>
    </row>
    <row r="395" spans="1:13" ht="21.75" customHeight="1">
      <c r="A395" s="595"/>
      <c r="B395" s="614"/>
      <c r="C395" s="588"/>
      <c r="D395" s="595" t="s">
        <v>564</v>
      </c>
      <c r="E395" s="593" t="s">
        <v>563</v>
      </c>
      <c r="F395" s="610">
        <v>17300</v>
      </c>
      <c r="G395" s="686">
        <v>17300</v>
      </c>
      <c r="H395" s="591" t="s">
        <v>1178</v>
      </c>
      <c r="I395" s="591">
        <v>853</v>
      </c>
      <c r="J395" s="591" t="s">
        <v>1314</v>
      </c>
      <c r="K395" s="591"/>
      <c r="L395" s="588"/>
      <c r="M395" s="558"/>
    </row>
    <row r="396" spans="1:13" ht="19.5" customHeight="1">
      <c r="A396" s="614"/>
      <c r="B396" s="595"/>
      <c r="C396" s="588"/>
      <c r="D396" s="595" t="s">
        <v>565</v>
      </c>
      <c r="E396" s="593" t="s">
        <v>563</v>
      </c>
      <c r="F396" s="610">
        <v>17300</v>
      </c>
      <c r="G396" s="686">
        <v>17300</v>
      </c>
      <c r="H396" s="591" t="s">
        <v>1178</v>
      </c>
      <c r="I396" s="591">
        <v>854</v>
      </c>
      <c r="J396" s="591" t="s">
        <v>1314</v>
      </c>
      <c r="K396" s="591"/>
      <c r="L396" s="588"/>
      <c r="M396" s="558"/>
    </row>
    <row r="397" spans="1:13" ht="19.5" customHeight="1">
      <c r="A397" s="595"/>
      <c r="B397" s="595"/>
      <c r="C397" s="591"/>
      <c r="D397" s="595" t="s">
        <v>566</v>
      </c>
      <c r="E397" s="593" t="s">
        <v>563</v>
      </c>
      <c r="F397" s="610">
        <v>17300</v>
      </c>
      <c r="G397" s="686">
        <v>17300</v>
      </c>
      <c r="H397" s="591" t="s">
        <v>1178</v>
      </c>
      <c r="I397" s="591">
        <v>855</v>
      </c>
      <c r="J397" s="591" t="s">
        <v>1314</v>
      </c>
      <c r="K397" s="591"/>
      <c r="L397" s="588"/>
      <c r="M397" s="558"/>
    </row>
    <row r="398" spans="1:13" ht="24.75" customHeight="1">
      <c r="A398" s="546" t="s">
        <v>643</v>
      </c>
      <c r="B398" s="595" t="s">
        <v>577</v>
      </c>
      <c r="C398" s="591" t="s">
        <v>743</v>
      </c>
      <c r="D398" s="595" t="s">
        <v>567</v>
      </c>
      <c r="E398" s="607"/>
      <c r="F398" s="594">
        <v>193000</v>
      </c>
      <c r="G398" s="676">
        <v>193000</v>
      </c>
      <c r="H398" s="591" t="s">
        <v>1306</v>
      </c>
      <c r="I398" s="591">
        <v>123</v>
      </c>
      <c r="J398" s="591" t="s">
        <v>1313</v>
      </c>
      <c r="K398" s="591"/>
      <c r="L398" s="588"/>
      <c r="M398" s="558"/>
    </row>
    <row r="399" spans="1:13" ht="21.75" customHeight="1">
      <c r="A399" s="546" t="s">
        <v>644</v>
      </c>
      <c r="B399" s="595" t="s">
        <v>656</v>
      </c>
      <c r="C399" s="591" t="s">
        <v>746</v>
      </c>
      <c r="D399" s="595" t="s">
        <v>1250</v>
      </c>
      <c r="E399" s="607" t="s">
        <v>571</v>
      </c>
      <c r="F399" s="594">
        <v>602000</v>
      </c>
      <c r="G399" s="676">
        <v>602000</v>
      </c>
      <c r="H399" s="591" t="s">
        <v>1306</v>
      </c>
      <c r="I399" s="591">
        <v>406</v>
      </c>
      <c r="J399" s="591" t="s">
        <v>1313</v>
      </c>
      <c r="K399" s="627"/>
      <c r="L399" s="595"/>
      <c r="M399" s="558"/>
    </row>
    <row r="400" spans="1:13" ht="24" customHeight="1">
      <c r="A400" s="546" t="s">
        <v>645</v>
      </c>
      <c r="B400" s="595" t="s">
        <v>657</v>
      </c>
      <c r="C400" s="591" t="s">
        <v>747</v>
      </c>
      <c r="D400" s="595" t="s">
        <v>572</v>
      </c>
      <c r="E400" s="593" t="s">
        <v>568</v>
      </c>
      <c r="F400" s="594">
        <v>92000</v>
      </c>
      <c r="G400" s="676">
        <v>92000</v>
      </c>
      <c r="H400" s="591" t="s">
        <v>1306</v>
      </c>
      <c r="I400" s="591">
        <v>41</v>
      </c>
      <c r="J400" s="591" t="s">
        <v>1313</v>
      </c>
      <c r="K400" s="591"/>
      <c r="L400" s="595"/>
      <c r="M400" s="558"/>
    </row>
    <row r="401" spans="1:13" ht="22.5" customHeight="1">
      <c r="A401" s="546" t="s">
        <v>646</v>
      </c>
      <c r="B401" s="595" t="s">
        <v>658</v>
      </c>
      <c r="C401" s="591" t="s">
        <v>1254</v>
      </c>
      <c r="D401" s="595" t="s">
        <v>661</v>
      </c>
      <c r="E401" s="593" t="s">
        <v>1121</v>
      </c>
      <c r="F401" s="594">
        <v>157000</v>
      </c>
      <c r="G401" s="676">
        <v>157000</v>
      </c>
      <c r="H401" s="591" t="s">
        <v>1306</v>
      </c>
      <c r="I401" s="591">
        <v>1077</v>
      </c>
      <c r="J401" s="591" t="s">
        <v>114</v>
      </c>
      <c r="K401" s="591"/>
      <c r="L401" s="588"/>
      <c r="M401" s="546"/>
    </row>
    <row r="402" spans="1:13" ht="27" customHeight="1">
      <c r="A402" s="546" t="s">
        <v>647</v>
      </c>
      <c r="B402" s="600" t="s">
        <v>662</v>
      </c>
      <c r="C402" s="591" t="s">
        <v>1122</v>
      </c>
      <c r="D402" s="595" t="s">
        <v>663</v>
      </c>
      <c r="E402" s="593" t="s">
        <v>1123</v>
      </c>
      <c r="F402" s="594">
        <v>580000</v>
      </c>
      <c r="G402" s="676">
        <v>580000</v>
      </c>
      <c r="H402" s="591" t="s">
        <v>1306</v>
      </c>
      <c r="I402" s="591">
        <v>1119</v>
      </c>
      <c r="J402" s="596" t="s">
        <v>351</v>
      </c>
      <c r="K402" s="591"/>
      <c r="L402" s="588"/>
      <c r="M402" s="546"/>
    </row>
    <row r="403" spans="1:13" ht="21" customHeight="1">
      <c r="A403" s="546"/>
      <c r="B403" s="600"/>
      <c r="C403" s="591"/>
      <c r="D403" s="595" t="s">
        <v>664</v>
      </c>
      <c r="E403" s="593"/>
      <c r="F403" s="594"/>
      <c r="G403" s="676"/>
      <c r="H403" s="591"/>
      <c r="I403" s="591"/>
      <c r="J403" s="596"/>
      <c r="K403" s="591"/>
      <c r="L403" s="588"/>
      <c r="M403" s="546"/>
    </row>
    <row r="404" spans="1:13" ht="24" customHeight="1">
      <c r="A404" s="546" t="s">
        <v>91</v>
      </c>
      <c r="B404" s="600" t="s">
        <v>985</v>
      </c>
      <c r="C404" s="591" t="s">
        <v>990</v>
      </c>
      <c r="D404" s="595" t="s">
        <v>986</v>
      </c>
      <c r="E404" s="593" t="s">
        <v>987</v>
      </c>
      <c r="F404" s="594">
        <v>408500</v>
      </c>
      <c r="G404" s="676">
        <v>408500</v>
      </c>
      <c r="H404" s="591" t="s">
        <v>1306</v>
      </c>
      <c r="I404" s="591" t="s">
        <v>988</v>
      </c>
      <c r="J404" s="596" t="s">
        <v>351</v>
      </c>
      <c r="K404" s="591"/>
      <c r="L404" s="588"/>
      <c r="M404" s="546"/>
    </row>
    <row r="405" spans="1:13" ht="21.75" customHeight="1">
      <c r="A405" s="546"/>
      <c r="B405" s="600"/>
      <c r="C405" s="591"/>
      <c r="D405" s="595" t="s">
        <v>989</v>
      </c>
      <c r="E405" s="593"/>
      <c r="F405" s="594"/>
      <c r="G405" s="676"/>
      <c r="H405" s="591"/>
      <c r="I405" s="591"/>
      <c r="J405" s="596"/>
      <c r="K405" s="591"/>
      <c r="L405" s="588"/>
      <c r="M405" s="546"/>
    </row>
    <row r="406" spans="1:13" ht="27.75" customHeight="1">
      <c r="A406" s="569" t="s">
        <v>655</v>
      </c>
      <c r="B406" s="666" t="s">
        <v>660</v>
      </c>
      <c r="C406" s="618" t="s">
        <v>161</v>
      </c>
      <c r="D406" s="617" t="s">
        <v>659</v>
      </c>
      <c r="E406" s="766" t="s">
        <v>665</v>
      </c>
      <c r="F406" s="684">
        <v>1197000</v>
      </c>
      <c r="G406" s="730">
        <v>1197000</v>
      </c>
      <c r="H406" s="618" t="s">
        <v>1306</v>
      </c>
      <c r="I406" s="618" t="s">
        <v>984</v>
      </c>
      <c r="J406" s="649"/>
      <c r="K406" s="618"/>
      <c r="L406" s="634"/>
      <c r="M406" s="569"/>
    </row>
    <row r="407" spans="1:13" ht="24" customHeight="1">
      <c r="A407" s="687"/>
      <c r="B407" s="688"/>
      <c r="C407" s="688"/>
      <c r="D407" s="688"/>
      <c r="E407" s="688"/>
      <c r="F407" s="688"/>
      <c r="G407" s="767">
        <f>SUM(G289:G406)</f>
        <v>23895582</v>
      </c>
      <c r="H407" s="688"/>
      <c r="I407" s="688"/>
      <c r="J407" s="688"/>
      <c r="K407" s="688"/>
      <c r="L407" s="688"/>
      <c r="M407" s="691"/>
    </row>
    <row r="408" spans="1:13" ht="28.5" customHeight="1" thickBot="1">
      <c r="A408" s="689"/>
      <c r="B408" s="688"/>
      <c r="C408" s="688"/>
      <c r="D408" s="688"/>
      <c r="E408" s="688"/>
      <c r="F408" s="688"/>
      <c r="G408" s="709">
        <f>G285+G407</f>
        <v>29753591.37</v>
      </c>
      <c r="H408" s="688"/>
      <c r="I408" s="688"/>
      <c r="J408" s="688"/>
      <c r="K408" s="708"/>
      <c r="L408" s="688"/>
      <c r="M408" s="691"/>
    </row>
    <row r="409" spans="1:13" ht="22.5" thickTop="1">
      <c r="A409" s="689"/>
      <c r="B409" s="688"/>
      <c r="C409" s="688"/>
      <c r="D409" s="688"/>
      <c r="E409" s="688"/>
      <c r="F409" s="688"/>
      <c r="G409" s="688"/>
      <c r="H409" s="688"/>
      <c r="I409" s="688"/>
      <c r="J409" s="688"/>
      <c r="K409" s="688"/>
      <c r="L409" s="688"/>
      <c r="M409" s="218"/>
    </row>
    <row r="410" spans="1:12" ht="21.75">
      <c r="A410" s="689"/>
      <c r="B410" s="688"/>
      <c r="C410" s="688"/>
      <c r="D410" s="688"/>
      <c r="E410" s="688"/>
      <c r="F410" s="688"/>
      <c r="G410" s="688"/>
      <c r="H410" s="688"/>
      <c r="I410" s="688"/>
      <c r="J410" s="688"/>
      <c r="K410" s="688"/>
      <c r="L410" s="688"/>
    </row>
    <row r="411" spans="1:12" ht="21.75">
      <c r="A411" s="688"/>
      <c r="B411" s="688"/>
      <c r="C411" s="688"/>
      <c r="D411" s="688"/>
      <c r="E411" s="688"/>
      <c r="F411" s="688"/>
      <c r="G411" s="688"/>
      <c r="H411" s="688"/>
      <c r="I411" s="688"/>
      <c r="J411" s="688"/>
      <c r="K411" s="688"/>
      <c r="L411" s="688"/>
    </row>
    <row r="412" ht="21.75">
      <c r="M412" s="864"/>
    </row>
    <row r="413" ht="21.75">
      <c r="M413" s="864"/>
    </row>
    <row r="414" ht="21.75">
      <c r="M414" s="864"/>
    </row>
    <row r="415" spans="1:12" ht="21.75">
      <c r="A415" s="864"/>
      <c r="B415" s="864"/>
      <c r="C415" s="432"/>
      <c r="D415" s="433"/>
      <c r="E415" s="432"/>
      <c r="F415" s="432"/>
      <c r="G415" s="432"/>
      <c r="H415" s="432"/>
      <c r="I415" s="864"/>
      <c r="J415" s="864"/>
      <c r="K415" s="864"/>
      <c r="L415" s="432"/>
    </row>
    <row r="416" spans="1:12" ht="21.75">
      <c r="A416" s="864"/>
      <c r="B416" s="864"/>
      <c r="C416" s="432"/>
      <c r="D416" s="433"/>
      <c r="E416" s="432"/>
      <c r="F416" s="432"/>
      <c r="G416" s="432"/>
      <c r="H416" s="432"/>
      <c r="I416" s="864"/>
      <c r="J416" s="864"/>
      <c r="K416" s="864"/>
      <c r="L416" s="432"/>
    </row>
    <row r="417" spans="1:12" ht="21.75">
      <c r="A417" s="864"/>
      <c r="B417" s="864"/>
      <c r="C417" s="432"/>
      <c r="D417" s="433"/>
      <c r="E417" s="432"/>
      <c r="F417" s="432"/>
      <c r="G417" s="434"/>
      <c r="H417" s="432"/>
      <c r="I417" s="864"/>
      <c r="J417" s="864"/>
      <c r="K417" s="864"/>
      <c r="L417" s="432"/>
    </row>
    <row r="430" ht="21.75" customHeight="1"/>
    <row r="433" ht="21.75" customHeight="1"/>
    <row r="442" spans="4:11" ht="21.75">
      <c r="D442" s="78"/>
      <c r="E442" s="95"/>
      <c r="F442" s="93"/>
      <c r="G442" s="79"/>
      <c r="H442" s="80"/>
      <c r="I442" s="94"/>
      <c r="J442" s="10"/>
      <c r="K442" s="10"/>
    </row>
  </sheetData>
  <sheetProtection/>
  <mergeCells count="214">
    <mergeCell ref="M384:M386"/>
    <mergeCell ref="G363:G365"/>
    <mergeCell ref="L286:L288"/>
    <mergeCell ref="M286:M288"/>
    <mergeCell ref="M363:M365"/>
    <mergeCell ref="G384:G386"/>
    <mergeCell ref="H384:H386"/>
    <mergeCell ref="L384:L386"/>
    <mergeCell ref="G286:G288"/>
    <mergeCell ref="H286:H288"/>
    <mergeCell ref="C384:C386"/>
    <mergeCell ref="D384:D386"/>
    <mergeCell ref="E384:E386"/>
    <mergeCell ref="F384:F386"/>
    <mergeCell ref="A286:B288"/>
    <mergeCell ref="C286:C288"/>
    <mergeCell ref="D286:D288"/>
    <mergeCell ref="E286:E288"/>
    <mergeCell ref="M243:M245"/>
    <mergeCell ref="M267:M269"/>
    <mergeCell ref="C312:C314"/>
    <mergeCell ref="D312:D314"/>
    <mergeCell ref="E312:E314"/>
    <mergeCell ref="F312:F314"/>
    <mergeCell ref="G312:G314"/>
    <mergeCell ref="H312:H314"/>
    <mergeCell ref="L312:L314"/>
    <mergeCell ref="F286:F288"/>
    <mergeCell ref="F267:F269"/>
    <mergeCell ref="G267:G269"/>
    <mergeCell ref="H267:H269"/>
    <mergeCell ref="L267:L269"/>
    <mergeCell ref="A267:B269"/>
    <mergeCell ref="C267:C269"/>
    <mergeCell ref="D267:D269"/>
    <mergeCell ref="E267:E269"/>
    <mergeCell ref="C243:C245"/>
    <mergeCell ref="D243:D245"/>
    <mergeCell ref="E243:E245"/>
    <mergeCell ref="F243:F245"/>
    <mergeCell ref="L189:L191"/>
    <mergeCell ref="M94:M96"/>
    <mergeCell ref="M140:M142"/>
    <mergeCell ref="M162:M164"/>
    <mergeCell ref="M189:M191"/>
    <mergeCell ref="L94:L96"/>
    <mergeCell ref="L140:L142"/>
    <mergeCell ref="A189:B191"/>
    <mergeCell ref="C189:C191"/>
    <mergeCell ref="D189:D191"/>
    <mergeCell ref="E189:E191"/>
    <mergeCell ref="J94:J96"/>
    <mergeCell ref="F189:F191"/>
    <mergeCell ref="G189:G191"/>
    <mergeCell ref="H189:H191"/>
    <mergeCell ref="I189:I191"/>
    <mergeCell ref="J162:J164"/>
    <mergeCell ref="K94:K96"/>
    <mergeCell ref="F162:F164"/>
    <mergeCell ref="G162:G164"/>
    <mergeCell ref="H162:H164"/>
    <mergeCell ref="I162:I164"/>
    <mergeCell ref="H140:H142"/>
    <mergeCell ref="F94:F96"/>
    <mergeCell ref="G94:G96"/>
    <mergeCell ref="H94:H96"/>
    <mergeCell ref="I94:I96"/>
    <mergeCell ref="G71:G73"/>
    <mergeCell ref="H71:H73"/>
    <mergeCell ref="L71:L73"/>
    <mergeCell ref="A217:B219"/>
    <mergeCell ref="C217:C219"/>
    <mergeCell ref="D217:D219"/>
    <mergeCell ref="E217:E219"/>
    <mergeCell ref="F217:F219"/>
    <mergeCell ref="G217:G219"/>
    <mergeCell ref="H217:H219"/>
    <mergeCell ref="C71:C73"/>
    <mergeCell ref="D71:D73"/>
    <mergeCell ref="E71:E73"/>
    <mergeCell ref="F71:F73"/>
    <mergeCell ref="C4:C6"/>
    <mergeCell ref="D4:D6"/>
    <mergeCell ref="E4:E6"/>
    <mergeCell ref="F4:F6"/>
    <mergeCell ref="G4:G6"/>
    <mergeCell ref="H4:H6"/>
    <mergeCell ref="L4:L6"/>
    <mergeCell ref="C24:C26"/>
    <mergeCell ref="D24:D26"/>
    <mergeCell ref="E24:E26"/>
    <mergeCell ref="F24:F26"/>
    <mergeCell ref="G24:G26"/>
    <mergeCell ref="H24:H26"/>
    <mergeCell ref="L24:L26"/>
    <mergeCell ref="J217:J219"/>
    <mergeCell ref="K217:K219"/>
    <mergeCell ref="K189:K191"/>
    <mergeCell ref="J189:J191"/>
    <mergeCell ref="A162:B164"/>
    <mergeCell ref="C162:C164"/>
    <mergeCell ref="D162:D164"/>
    <mergeCell ref="E162:E164"/>
    <mergeCell ref="A140:B142"/>
    <mergeCell ref="I140:I142"/>
    <mergeCell ref="J140:J142"/>
    <mergeCell ref="K140:K142"/>
    <mergeCell ref="D140:D142"/>
    <mergeCell ref="E140:E142"/>
    <mergeCell ref="F140:F142"/>
    <mergeCell ref="G140:G142"/>
    <mergeCell ref="C140:C142"/>
    <mergeCell ref="A118:B120"/>
    <mergeCell ref="I118:I120"/>
    <mergeCell ref="J118:J120"/>
    <mergeCell ref="K118:K120"/>
    <mergeCell ref="C118:C120"/>
    <mergeCell ref="D118:D120"/>
    <mergeCell ref="E118:E120"/>
    <mergeCell ref="F118:F120"/>
    <mergeCell ref="G118:G120"/>
    <mergeCell ref="H118:H120"/>
    <mergeCell ref="A94:B96"/>
    <mergeCell ref="C94:C96"/>
    <mergeCell ref="D94:D96"/>
    <mergeCell ref="E94:E96"/>
    <mergeCell ref="A243:B245"/>
    <mergeCell ref="I243:I245"/>
    <mergeCell ref="J243:J245"/>
    <mergeCell ref="A337:B339"/>
    <mergeCell ref="A312:B314"/>
    <mergeCell ref="I312:I314"/>
    <mergeCell ref="J312:J314"/>
    <mergeCell ref="C337:C339"/>
    <mergeCell ref="D337:D339"/>
    <mergeCell ref="E337:E339"/>
    <mergeCell ref="M412:M414"/>
    <mergeCell ref="K243:K245"/>
    <mergeCell ref="I337:I339"/>
    <mergeCell ref="J337:J339"/>
    <mergeCell ref="K337:K339"/>
    <mergeCell ref="K312:K314"/>
    <mergeCell ref="M312:M314"/>
    <mergeCell ref="L337:L339"/>
    <mergeCell ref="M337:M339"/>
    <mergeCell ref="L243:L245"/>
    <mergeCell ref="A415:B417"/>
    <mergeCell ref="I415:I417"/>
    <mergeCell ref="J415:J417"/>
    <mergeCell ref="K415:K417"/>
    <mergeCell ref="N223:N225"/>
    <mergeCell ref="L217:L219"/>
    <mergeCell ref="M217:M219"/>
    <mergeCell ref="F337:F339"/>
    <mergeCell ref="G337:G339"/>
    <mergeCell ref="H337:H339"/>
    <mergeCell ref="I267:I269"/>
    <mergeCell ref="J267:J269"/>
    <mergeCell ref="K267:K269"/>
    <mergeCell ref="G243:G245"/>
    <mergeCell ref="C47:C49"/>
    <mergeCell ref="D47:D49"/>
    <mergeCell ref="E47:E49"/>
    <mergeCell ref="F47:F49"/>
    <mergeCell ref="G47:G49"/>
    <mergeCell ref="H47:H49"/>
    <mergeCell ref="L47:L49"/>
    <mergeCell ref="A363:B365"/>
    <mergeCell ref="I363:I365"/>
    <mergeCell ref="J363:J365"/>
    <mergeCell ref="C363:C365"/>
    <mergeCell ref="D363:D365"/>
    <mergeCell ref="E363:E365"/>
    <mergeCell ref="F363:F365"/>
    <mergeCell ref="K162:K164"/>
    <mergeCell ref="H363:H365"/>
    <mergeCell ref="I384:I386"/>
    <mergeCell ref="J384:J386"/>
    <mergeCell ref="K384:K386"/>
    <mergeCell ref="H243:H245"/>
    <mergeCell ref="K286:K288"/>
    <mergeCell ref="I286:I288"/>
    <mergeCell ref="J286:J288"/>
    <mergeCell ref="I217:I219"/>
    <mergeCell ref="I24:I26"/>
    <mergeCell ref="J24:J26"/>
    <mergeCell ref="K24:K26"/>
    <mergeCell ref="J71:J73"/>
    <mergeCell ref="K47:K49"/>
    <mergeCell ref="K71:K73"/>
    <mergeCell ref="N392:N393"/>
    <mergeCell ref="A1:M1"/>
    <mergeCell ref="A2:M2"/>
    <mergeCell ref="A3:M3"/>
    <mergeCell ref="A4:B6"/>
    <mergeCell ref="I4:I6"/>
    <mergeCell ref="J4:J6"/>
    <mergeCell ref="K4:K6"/>
    <mergeCell ref="I71:I73"/>
    <mergeCell ref="A384:B386"/>
    <mergeCell ref="M24:M26"/>
    <mergeCell ref="M118:M120"/>
    <mergeCell ref="L118:L120"/>
    <mergeCell ref="L162:L164"/>
    <mergeCell ref="M4:M6"/>
    <mergeCell ref="A24:B26"/>
    <mergeCell ref="K363:K365"/>
    <mergeCell ref="M47:M49"/>
    <mergeCell ref="A71:B73"/>
    <mergeCell ref="A47:B49"/>
    <mergeCell ref="I47:I49"/>
    <mergeCell ref="J47:J49"/>
    <mergeCell ref="M71:M73"/>
    <mergeCell ref="L363:L365"/>
  </mergeCells>
  <printOptions/>
  <pageMargins left="0.4" right="0.14" top="0.34" bottom="0.54" header="0.1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2"/>
  <sheetViews>
    <sheetView zoomScaleSheetLayoutView="70" zoomScalePageLayoutView="0" workbookViewId="0" topLeftCell="A19">
      <selection activeCell="A32" sqref="A32:F35"/>
    </sheetView>
  </sheetViews>
  <sheetFormatPr defaultColWidth="9.140625" defaultRowHeight="19.5" customHeight="1"/>
  <cols>
    <col min="1" max="1" width="6.421875" style="14" customWidth="1"/>
    <col min="2" max="2" width="22.140625" style="14" customWidth="1"/>
    <col min="3" max="3" width="26.7109375" style="14" customWidth="1"/>
    <col min="4" max="4" width="12.57421875" style="14" customWidth="1"/>
    <col min="5" max="5" width="11.7109375" style="14" customWidth="1"/>
    <col min="6" max="7" width="16.421875" style="14" customWidth="1"/>
    <col min="8" max="8" width="11.7109375" style="14" customWidth="1"/>
    <col min="9" max="9" width="18.7109375" style="14" customWidth="1"/>
    <col min="10" max="10" width="7.00390625" style="14" customWidth="1"/>
    <col min="11" max="11" width="12.7109375" style="14" customWidth="1"/>
    <col min="12" max="12" width="9.140625" style="14" customWidth="1"/>
    <col min="13" max="13" width="13.57421875" style="14" customWidth="1"/>
    <col min="14" max="16384" width="9.140625" style="14" customWidth="1"/>
  </cols>
  <sheetData>
    <row r="1" spans="1:14" s="30" customFormat="1" ht="23.25" customHeight="1">
      <c r="A1" s="113"/>
      <c r="B1" s="145"/>
      <c r="C1" s="145"/>
      <c r="D1" s="145"/>
      <c r="E1" s="145"/>
      <c r="F1" s="146" t="s">
        <v>852</v>
      </c>
      <c r="G1" s="146"/>
      <c r="H1" s="241"/>
      <c r="I1" s="513"/>
      <c r="J1" s="513"/>
      <c r="K1" s="513"/>
      <c r="L1" s="513"/>
      <c r="M1" s="731"/>
      <c r="N1" s="732"/>
    </row>
    <row r="2" spans="1:14" s="30" customFormat="1" ht="24" customHeight="1">
      <c r="A2" s="113"/>
      <c r="B2" s="869" t="s">
        <v>1169</v>
      </c>
      <c r="C2" s="869"/>
      <c r="D2" s="869"/>
      <c r="E2" s="869"/>
      <c r="F2" s="869"/>
      <c r="G2" s="519"/>
      <c r="H2" s="241"/>
      <c r="I2" s="513"/>
      <c r="J2" s="513"/>
      <c r="K2" s="513"/>
      <c r="L2" s="513"/>
      <c r="M2" s="731"/>
      <c r="N2" s="732"/>
    </row>
    <row r="3" spans="1:14" s="30" customFormat="1" ht="23.25" customHeight="1">
      <c r="A3" s="869" t="s">
        <v>766</v>
      </c>
      <c r="B3" s="869"/>
      <c r="C3" s="869"/>
      <c r="D3" s="869"/>
      <c r="E3" s="869"/>
      <c r="F3" s="869"/>
      <c r="G3" s="519"/>
      <c r="H3" s="241"/>
      <c r="I3" s="513"/>
      <c r="J3" s="513"/>
      <c r="K3" s="513"/>
      <c r="L3" s="513"/>
      <c r="M3" s="731"/>
      <c r="N3" s="732"/>
    </row>
    <row r="4" spans="1:14" ht="20.25" customHeight="1">
      <c r="A4" s="870" t="s">
        <v>219</v>
      </c>
      <c r="B4" s="870"/>
      <c r="C4" s="870"/>
      <c r="D4" s="870"/>
      <c r="E4" s="870"/>
      <c r="F4" s="870"/>
      <c r="G4" s="520"/>
      <c r="H4" s="241"/>
      <c r="I4" s="513"/>
      <c r="J4" s="513"/>
      <c r="K4" s="513"/>
      <c r="L4" s="513"/>
      <c r="M4" s="731"/>
      <c r="N4" s="13"/>
    </row>
    <row r="5" spans="1:14" ht="25.5" customHeight="1">
      <c r="A5" s="147"/>
      <c r="B5" s="134"/>
      <c r="C5" s="134"/>
      <c r="D5" s="134"/>
      <c r="E5" s="134"/>
      <c r="F5" s="148" t="s">
        <v>210</v>
      </c>
      <c r="G5" s="148"/>
      <c r="H5" s="241"/>
      <c r="I5" s="513"/>
      <c r="J5" s="513"/>
      <c r="K5" s="513"/>
      <c r="L5" s="513"/>
      <c r="M5" s="731"/>
      <c r="N5" s="13"/>
    </row>
    <row r="6" spans="1:14" ht="25.5" customHeight="1">
      <c r="A6" s="867" t="s">
        <v>220</v>
      </c>
      <c r="B6" s="867"/>
      <c r="C6" s="133"/>
      <c r="D6" s="147"/>
      <c r="E6" s="147"/>
      <c r="F6" s="149">
        <v>8379914.4</v>
      </c>
      <c r="G6" s="149"/>
      <c r="H6" s="241"/>
      <c r="I6" s="513"/>
      <c r="J6" s="513"/>
      <c r="K6" s="513"/>
      <c r="L6" s="513"/>
      <c r="M6" s="731"/>
      <c r="N6" s="13"/>
    </row>
    <row r="7" spans="1:14" s="15" customFormat="1" ht="18.75" customHeight="1">
      <c r="A7" s="150" t="s">
        <v>767</v>
      </c>
      <c r="B7" s="133" t="s">
        <v>842</v>
      </c>
      <c r="C7" s="133"/>
      <c r="D7" s="489">
        <v>6478504.8</v>
      </c>
      <c r="E7" s="147"/>
      <c r="F7" s="149"/>
      <c r="G7" s="149"/>
      <c r="H7" s="241"/>
      <c r="I7" s="513"/>
      <c r="J7" s="513"/>
      <c r="K7" s="513"/>
      <c r="L7" s="513"/>
      <c r="M7" s="731"/>
      <c r="N7" s="736"/>
    </row>
    <row r="8" spans="1:14" ht="21" customHeight="1">
      <c r="A8" s="150"/>
      <c r="B8" s="153" t="s">
        <v>845</v>
      </c>
      <c r="C8" s="153"/>
      <c r="D8" s="166">
        <v>3144.06</v>
      </c>
      <c r="E8" s="149"/>
      <c r="F8" s="147"/>
      <c r="G8" s="147"/>
      <c r="H8" s="241"/>
      <c r="I8" s="513"/>
      <c r="J8" s="513"/>
      <c r="K8" s="513"/>
      <c r="L8" s="513"/>
      <c r="M8" s="731"/>
      <c r="N8" s="13"/>
    </row>
    <row r="9" spans="1:14" ht="18" customHeight="1">
      <c r="A9" s="152"/>
      <c r="B9" s="156" t="s">
        <v>771</v>
      </c>
      <c r="C9" s="147"/>
      <c r="D9" s="151">
        <v>4673.48</v>
      </c>
      <c r="E9" s="149"/>
      <c r="F9" s="147"/>
      <c r="G9" s="147"/>
      <c r="H9" s="241"/>
      <c r="I9" s="513"/>
      <c r="J9" s="513"/>
      <c r="K9" s="513"/>
      <c r="L9" s="513"/>
      <c r="M9" s="731"/>
      <c r="N9" s="13"/>
    </row>
    <row r="10" spans="1:14" ht="19.5" customHeight="1">
      <c r="A10" s="147"/>
      <c r="B10" s="153"/>
      <c r="C10" s="153"/>
      <c r="D10" s="166"/>
      <c r="E10" s="154"/>
      <c r="F10" s="155"/>
      <c r="G10" s="155"/>
      <c r="H10" s="241"/>
      <c r="I10" s="513"/>
      <c r="J10" s="513"/>
      <c r="K10" s="513"/>
      <c r="L10" s="513"/>
      <c r="M10" s="731"/>
      <c r="N10" s="13"/>
    </row>
    <row r="11" spans="1:14" ht="19.5" customHeight="1">
      <c r="A11" s="150" t="s">
        <v>769</v>
      </c>
      <c r="B11" s="133" t="s">
        <v>843</v>
      </c>
      <c r="C11" s="133"/>
      <c r="D11" s="154">
        <v>1619626.2</v>
      </c>
      <c r="E11" s="154"/>
      <c r="F11" s="154"/>
      <c r="G11" s="154"/>
      <c r="H11" s="734"/>
      <c r="I11" s="156"/>
      <c r="J11" s="156"/>
      <c r="K11" s="154"/>
      <c r="L11" s="154"/>
      <c r="M11" s="154"/>
      <c r="N11" s="13"/>
    </row>
    <row r="12" spans="1:14" ht="19.5" customHeight="1">
      <c r="A12" s="150"/>
      <c r="B12" s="133" t="s">
        <v>221</v>
      </c>
      <c r="C12" s="133"/>
      <c r="D12" s="154">
        <v>1168.37</v>
      </c>
      <c r="E12" s="154"/>
      <c r="F12" s="154"/>
      <c r="G12" s="154"/>
      <c r="H12" s="734"/>
      <c r="I12" s="156"/>
      <c r="J12" s="156"/>
      <c r="K12" s="154"/>
      <c r="L12" s="154"/>
      <c r="M12" s="154"/>
      <c r="N12" s="13"/>
    </row>
    <row r="13" spans="1:14" s="15" customFormat="1" ht="20.25" customHeight="1">
      <c r="A13" s="150"/>
      <c r="B13" s="156" t="s">
        <v>148</v>
      </c>
      <c r="C13" s="156"/>
      <c r="D13" s="154"/>
      <c r="E13" s="154"/>
      <c r="F13" s="154"/>
      <c r="G13" s="154"/>
      <c r="H13" s="734"/>
      <c r="I13" s="156"/>
      <c r="J13" s="156"/>
      <c r="K13" s="154"/>
      <c r="L13" s="154"/>
      <c r="M13" s="154"/>
      <c r="N13" s="736"/>
    </row>
    <row r="14" spans="1:14" s="15" customFormat="1" ht="20.25" customHeight="1">
      <c r="A14" s="150"/>
      <c r="B14" s="133"/>
      <c r="C14" s="133"/>
      <c r="D14" s="488">
        <f>D7+D8+D9-D11-D12</f>
        <v>4865527.77</v>
      </c>
      <c r="E14" s="154"/>
      <c r="F14" s="155">
        <f>D14</f>
        <v>4865527.77</v>
      </c>
      <c r="G14" s="155"/>
      <c r="H14" s="734"/>
      <c r="I14" s="733"/>
      <c r="J14" s="733"/>
      <c r="K14" s="735"/>
      <c r="L14" s="154"/>
      <c r="M14" s="158"/>
      <c r="N14" s="736"/>
    </row>
    <row r="15" spans="1:14" s="15" customFormat="1" ht="20.25" customHeight="1" thickBot="1">
      <c r="A15" s="147"/>
      <c r="B15" s="156"/>
      <c r="C15" s="156"/>
      <c r="D15" s="154"/>
      <c r="E15" s="154"/>
      <c r="F15" s="157">
        <f>8379914.4+F14</f>
        <v>13245442.17</v>
      </c>
      <c r="G15" s="523"/>
      <c r="H15" s="156"/>
      <c r="I15" s="156"/>
      <c r="J15" s="156"/>
      <c r="K15" s="154"/>
      <c r="L15" s="154"/>
      <c r="M15" s="523"/>
      <c r="N15" s="736"/>
    </row>
    <row r="16" spans="1:14" ht="18.75" customHeight="1" thickTop="1">
      <c r="A16" s="147"/>
      <c r="B16" s="156"/>
      <c r="C16" s="156"/>
      <c r="D16" s="154"/>
      <c r="E16" s="156"/>
      <c r="F16" s="158"/>
      <c r="G16" s="158"/>
      <c r="H16" s="156"/>
      <c r="I16" s="156"/>
      <c r="J16" s="156"/>
      <c r="K16" s="154"/>
      <c r="L16" s="156"/>
      <c r="M16" s="158"/>
      <c r="N16" s="13"/>
    </row>
    <row r="17" spans="1:14" ht="18" customHeight="1">
      <c r="A17" s="147"/>
      <c r="B17" s="147"/>
      <c r="C17" s="147"/>
      <c r="D17" s="155"/>
      <c r="E17" s="147"/>
      <c r="F17" s="155"/>
      <c r="G17" s="155"/>
      <c r="H17" s="156"/>
      <c r="I17" s="156"/>
      <c r="J17" s="156"/>
      <c r="K17" s="158"/>
      <c r="L17" s="156"/>
      <c r="M17" s="158"/>
      <c r="N17" s="13"/>
    </row>
    <row r="18" spans="1:14" ht="23.25" customHeight="1">
      <c r="A18" s="153" t="s">
        <v>222</v>
      </c>
      <c r="B18" s="153"/>
      <c r="C18" s="149"/>
      <c r="D18" s="149"/>
      <c r="E18" s="147"/>
      <c r="F18" s="147"/>
      <c r="G18" s="147"/>
      <c r="H18" s="737"/>
      <c r="I18" s="737"/>
      <c r="J18" s="154"/>
      <c r="K18" s="154"/>
      <c r="L18" s="156"/>
      <c r="M18" s="156"/>
      <c r="N18" s="13"/>
    </row>
    <row r="19" spans="1:14" ht="21" customHeight="1">
      <c r="A19" s="147"/>
      <c r="B19" s="153" t="s">
        <v>849</v>
      </c>
      <c r="C19" s="159"/>
      <c r="D19" s="149"/>
      <c r="E19" s="147"/>
      <c r="F19" s="149">
        <f>12480+67892.16+600</f>
        <v>80972.16</v>
      </c>
      <c r="G19" s="149"/>
      <c r="H19" s="156"/>
      <c r="I19" s="737"/>
      <c r="J19" s="738"/>
      <c r="K19" s="154"/>
      <c r="L19" s="156"/>
      <c r="M19" s="154"/>
      <c r="N19" s="13"/>
    </row>
    <row r="20" spans="1:14" ht="24" customHeight="1">
      <c r="A20" s="147"/>
      <c r="B20" s="153" t="s">
        <v>850</v>
      </c>
      <c r="C20" s="159"/>
      <c r="D20" s="149"/>
      <c r="E20" s="147"/>
      <c r="F20" s="149">
        <f>F15-F19</f>
        <v>13164470.01</v>
      </c>
      <c r="G20" s="149"/>
      <c r="H20" s="156"/>
      <c r="I20" s="737"/>
      <c r="J20" s="738"/>
      <c r="K20" s="154"/>
      <c r="L20" s="156"/>
      <c r="M20" s="154"/>
      <c r="N20" s="13"/>
    </row>
    <row r="21" spans="1:14" ht="21.75" customHeight="1">
      <c r="A21" s="147"/>
      <c r="B21" s="153"/>
      <c r="C21" s="159"/>
      <c r="D21" s="149"/>
      <c r="E21" s="147"/>
      <c r="F21" s="149"/>
      <c r="G21" s="149"/>
      <c r="H21" s="156"/>
      <c r="I21" s="737"/>
      <c r="J21" s="738"/>
      <c r="K21" s="154"/>
      <c r="L21" s="156"/>
      <c r="M21" s="154"/>
      <c r="N21" s="13"/>
    </row>
    <row r="22" spans="1:14" ht="23.25" customHeight="1">
      <c r="A22" s="147"/>
      <c r="B22" s="153"/>
      <c r="C22" s="159"/>
      <c r="D22" s="147"/>
      <c r="E22" s="147"/>
      <c r="F22" s="149"/>
      <c r="G22" s="149"/>
      <c r="H22" s="156"/>
      <c r="I22" s="737"/>
      <c r="J22" s="738"/>
      <c r="K22" s="156"/>
      <c r="L22" s="156"/>
      <c r="M22" s="154"/>
      <c r="N22" s="13"/>
    </row>
    <row r="23" spans="1:14" ht="16.5" customHeight="1" thickBot="1">
      <c r="A23" s="147"/>
      <c r="B23" s="147"/>
      <c r="C23" s="147"/>
      <c r="D23" s="147"/>
      <c r="E23" s="147"/>
      <c r="F23" s="160">
        <f>SUM(F19:F22)</f>
        <v>13245442.17</v>
      </c>
      <c r="G23" s="524"/>
      <c r="H23" s="156"/>
      <c r="I23" s="156"/>
      <c r="J23" s="156"/>
      <c r="K23" s="156"/>
      <c r="L23" s="156"/>
      <c r="M23" s="524"/>
      <c r="N23" s="13"/>
    </row>
    <row r="24" spans="1:14" ht="21" customHeight="1" thickTop="1">
      <c r="A24" s="147"/>
      <c r="B24" s="147"/>
      <c r="C24" s="147"/>
      <c r="D24" s="147"/>
      <c r="E24" s="147"/>
      <c r="F24" s="154"/>
      <c r="G24" s="154"/>
      <c r="H24" s="156"/>
      <c r="I24" s="156"/>
      <c r="J24" s="156"/>
      <c r="K24" s="156"/>
      <c r="L24" s="156"/>
      <c r="M24" s="154"/>
      <c r="N24" s="13"/>
    </row>
    <row r="25" spans="1:14" s="15" customFormat="1" ht="19.5" customHeight="1">
      <c r="A25" s="147"/>
      <c r="B25" s="133"/>
      <c r="C25" s="147"/>
      <c r="D25" s="147"/>
      <c r="E25" s="147"/>
      <c r="F25" s="147"/>
      <c r="G25" s="147"/>
      <c r="H25" s="156"/>
      <c r="I25" s="733"/>
      <c r="J25" s="156"/>
      <c r="K25" s="156"/>
      <c r="L25" s="156"/>
      <c r="M25" s="156"/>
      <c r="N25" s="736"/>
    </row>
    <row r="26" spans="1:14" ht="23.25" customHeight="1">
      <c r="A26" s="147"/>
      <c r="B26" s="161" t="s">
        <v>223</v>
      </c>
      <c r="C26" s="161"/>
      <c r="D26" s="147"/>
      <c r="E26" s="147"/>
      <c r="F26" s="154"/>
      <c r="G26" s="154"/>
      <c r="H26" s="156"/>
      <c r="I26" s="739"/>
      <c r="J26" s="739"/>
      <c r="K26" s="156"/>
      <c r="L26" s="156"/>
      <c r="M26" s="154"/>
      <c r="N26" s="13"/>
    </row>
    <row r="27" spans="1:14" ht="21" customHeight="1">
      <c r="A27" s="113"/>
      <c r="B27" s="145"/>
      <c r="C27" s="145"/>
      <c r="D27" s="145"/>
      <c r="E27" s="145"/>
      <c r="F27" s="145"/>
      <c r="G27" s="145"/>
      <c r="H27" s="241"/>
      <c r="I27" s="513"/>
      <c r="J27" s="513"/>
      <c r="K27" s="513"/>
      <c r="L27" s="513"/>
      <c r="M27" s="513"/>
      <c r="N27" s="13"/>
    </row>
    <row r="28" spans="1:14" ht="21" customHeight="1">
      <c r="A28" s="113"/>
      <c r="B28" s="145"/>
      <c r="C28" s="145"/>
      <c r="D28" s="145"/>
      <c r="E28" s="145"/>
      <c r="F28" s="162"/>
      <c r="G28" s="162"/>
      <c r="H28" s="241"/>
      <c r="I28" s="513"/>
      <c r="J28" s="513"/>
      <c r="K28" s="513"/>
      <c r="L28" s="513"/>
      <c r="M28" s="162"/>
      <c r="N28" s="13"/>
    </row>
    <row r="29" spans="1:14" ht="21" customHeight="1">
      <c r="A29" s="113"/>
      <c r="B29" s="145"/>
      <c r="C29" s="145"/>
      <c r="D29" s="145"/>
      <c r="E29" s="145"/>
      <c r="F29" s="145"/>
      <c r="G29" s="145"/>
      <c r="H29" s="241"/>
      <c r="I29" s="513"/>
      <c r="J29" s="513"/>
      <c r="K29" s="513"/>
      <c r="L29" s="513"/>
      <c r="M29" s="513"/>
      <c r="N29" s="13"/>
    </row>
    <row r="30" spans="1:14" ht="17.25" customHeight="1">
      <c r="A30" s="4"/>
      <c r="B30" s="7"/>
      <c r="C30" s="75"/>
      <c r="D30" s="122"/>
      <c r="E30" s="123"/>
      <c r="F30" s="123"/>
      <c r="G30" s="123"/>
      <c r="H30" s="4"/>
      <c r="I30" s="7"/>
      <c r="J30" s="75"/>
      <c r="K30" s="122"/>
      <c r="L30" s="123"/>
      <c r="M30" s="123"/>
      <c r="N30" s="13"/>
    </row>
    <row r="31" spans="1:14" ht="18.75" customHeight="1">
      <c r="A31" s="4"/>
      <c r="B31" s="7"/>
      <c r="C31" s="4"/>
      <c r="D31" s="122"/>
      <c r="E31" s="123"/>
      <c r="F31" s="123"/>
      <c r="G31" s="123"/>
      <c r="H31" s="4"/>
      <c r="I31" s="7"/>
      <c r="J31" s="4"/>
      <c r="K31" s="122"/>
      <c r="L31" s="123"/>
      <c r="M31" s="123"/>
      <c r="N31" s="13"/>
    </row>
    <row r="32" spans="1:13" ht="19.5" customHeight="1">
      <c r="A32" s="4"/>
      <c r="B32" s="7"/>
      <c r="C32" s="4"/>
      <c r="D32" s="122"/>
      <c r="E32" s="123"/>
      <c r="F32" s="123"/>
      <c r="G32" s="123"/>
      <c r="H32" s="4"/>
      <c r="I32" s="7"/>
      <c r="J32" s="4"/>
      <c r="K32" s="122"/>
      <c r="L32" s="123"/>
      <c r="M32" s="123"/>
    </row>
    <row r="33" spans="1:13" ht="19.5" customHeight="1">
      <c r="A33" s="136" t="s">
        <v>1063</v>
      </c>
      <c r="B33" s="138"/>
      <c r="C33" s="143"/>
      <c r="D33" s="277"/>
      <c r="E33"/>
      <c r="F33" s="4"/>
      <c r="G33" s="4"/>
      <c r="H33" s="136" t="s">
        <v>155</v>
      </c>
      <c r="I33" s="138"/>
      <c r="J33" s="143"/>
      <c r="K33" s="277"/>
      <c r="L33"/>
      <c r="M33" s="4"/>
    </row>
    <row r="34" spans="1:13" ht="18" customHeight="1">
      <c r="A34" s="136" t="s">
        <v>1064</v>
      </c>
      <c r="B34" s="138"/>
      <c r="C34" s="244"/>
      <c r="D34" s="3"/>
      <c r="E34"/>
      <c r="F34" s="4"/>
      <c r="G34" s="4"/>
      <c r="H34" s="136" t="s">
        <v>154</v>
      </c>
      <c r="I34" s="138"/>
      <c r="J34" s="244"/>
      <c r="K34" s="3"/>
      <c r="L34"/>
      <c r="M34" s="4"/>
    </row>
    <row r="35" spans="1:13" ht="18" customHeight="1">
      <c r="A35" s="4"/>
      <c r="B35" s="7"/>
      <c r="C35" s="4"/>
      <c r="D35" s="75"/>
      <c r="E35" s="75"/>
      <c r="F35" s="77"/>
      <c r="G35" s="77"/>
      <c r="H35" s="4"/>
      <c r="I35" s="7"/>
      <c r="J35" s="4"/>
      <c r="K35" s="75"/>
      <c r="L35" s="75"/>
      <c r="M35" s="77"/>
    </row>
    <row r="36" spans="1:13" s="15" customFormat="1" ht="18" customHeight="1">
      <c r="A36" s="4"/>
      <c r="B36" s="7"/>
      <c r="C36" s="4"/>
      <c r="D36" s="75"/>
      <c r="E36" s="75"/>
      <c r="F36" s="77"/>
      <c r="G36" s="77"/>
      <c r="H36" s="4"/>
      <c r="I36" s="7"/>
      <c r="J36" s="4"/>
      <c r="K36" s="75"/>
      <c r="L36" s="75"/>
      <c r="M36" s="77"/>
    </row>
    <row r="37" spans="1:13" s="15" customFormat="1" ht="21" customHeight="1">
      <c r="A37" s="55"/>
      <c r="B37" s="4"/>
      <c r="C37" s="4"/>
      <c r="D37" s="125"/>
      <c r="E37" s="75"/>
      <c r="F37" s="68"/>
      <c r="G37" s="68"/>
      <c r="H37" s="55"/>
      <c r="I37" s="4"/>
      <c r="J37" s="4"/>
      <c r="K37" s="125"/>
      <c r="L37" s="75"/>
      <c r="M37" s="68"/>
    </row>
    <row r="38" spans="1:13" s="15" customFormat="1" ht="21.75" customHeight="1">
      <c r="A38" s="4"/>
      <c r="B38" s="4"/>
      <c r="C38" s="4"/>
      <c r="D38" s="75"/>
      <c r="E38" s="75"/>
      <c r="F38" s="77"/>
      <c r="G38" s="77"/>
      <c r="H38" s="4"/>
      <c r="I38" s="4"/>
      <c r="J38" s="4"/>
      <c r="K38" s="75"/>
      <c r="L38" s="75"/>
      <c r="M38" s="77"/>
    </row>
    <row r="39" spans="1:13" s="15" customFormat="1" ht="27.75" customHeight="1">
      <c r="A39" s="868"/>
      <c r="B39" s="868"/>
      <c r="C39" s="868"/>
      <c r="D39" s="60"/>
      <c r="E39" s="60"/>
      <c r="F39" s="61"/>
      <c r="G39" s="61"/>
      <c r="H39" s="868"/>
      <c r="I39" s="868"/>
      <c r="J39" s="868"/>
      <c r="K39" s="60"/>
      <c r="L39" s="60"/>
      <c r="M39" s="61"/>
    </row>
    <row r="40" spans="1:13" s="15" customFormat="1" ht="27.75" customHeight="1">
      <c r="A40" s="39"/>
      <c r="B40" s="39"/>
      <c r="C40" s="39"/>
      <c r="D40" s="60"/>
      <c r="E40" s="60"/>
      <c r="F40" s="61"/>
      <c r="G40" s="61"/>
      <c r="H40" s="39"/>
      <c r="I40" s="39"/>
      <c r="J40" s="39"/>
      <c r="K40" s="60"/>
      <c r="L40" s="60"/>
      <c r="M40" s="61"/>
    </row>
    <row r="41" spans="1:13" s="15" customFormat="1" ht="18.75" customHeight="1">
      <c r="A41" s="39"/>
      <c r="B41" s="39"/>
      <c r="C41" s="39"/>
      <c r="D41" s="60"/>
      <c r="E41" s="60"/>
      <c r="F41" s="61"/>
      <c r="G41" s="61"/>
      <c r="H41" s="39"/>
      <c r="I41" s="39"/>
      <c r="J41" s="39"/>
      <c r="K41" s="60"/>
      <c r="L41" s="60"/>
      <c r="M41" s="61"/>
    </row>
    <row r="42" spans="1:8" s="15" customFormat="1" ht="18.75" customHeight="1">
      <c r="A42" s="113"/>
      <c r="B42" s="145"/>
      <c r="C42" s="145"/>
      <c r="D42" s="145"/>
      <c r="E42" s="145"/>
      <c r="F42" s="146" t="s">
        <v>852</v>
      </c>
      <c r="G42" s="146"/>
      <c r="H42" s="71"/>
    </row>
    <row r="43" spans="1:8" s="15" customFormat="1" ht="18.75" customHeight="1">
      <c r="A43" s="113"/>
      <c r="B43" s="869" t="s">
        <v>1169</v>
      </c>
      <c r="C43" s="869"/>
      <c r="D43" s="869"/>
      <c r="E43" s="869"/>
      <c r="F43" s="869"/>
      <c r="G43" s="519"/>
      <c r="H43" s="1"/>
    </row>
    <row r="44" spans="1:8" s="15" customFormat="1" ht="18.75" customHeight="1">
      <c r="A44" s="869" t="s">
        <v>766</v>
      </c>
      <c r="B44" s="869"/>
      <c r="C44" s="869"/>
      <c r="D44" s="869"/>
      <c r="E44" s="869"/>
      <c r="F44" s="869"/>
      <c r="G44" s="519"/>
      <c r="H44" s="1"/>
    </row>
    <row r="45" spans="1:8" s="15" customFormat="1" ht="22.5" customHeight="1">
      <c r="A45" s="870" t="s">
        <v>903</v>
      </c>
      <c r="B45" s="870"/>
      <c r="C45" s="870"/>
      <c r="D45" s="870"/>
      <c r="E45" s="870"/>
      <c r="F45" s="870"/>
      <c r="G45" s="520"/>
      <c r="H45" s="68"/>
    </row>
    <row r="46" spans="1:8" s="15" customFormat="1" ht="21.75" customHeight="1">
      <c r="A46" s="147"/>
      <c r="B46" s="134"/>
      <c r="C46" s="134"/>
      <c r="D46" s="134"/>
      <c r="E46" s="134"/>
      <c r="F46" s="148" t="s">
        <v>210</v>
      </c>
      <c r="G46" s="148"/>
      <c r="H46" s="68"/>
    </row>
    <row r="47" spans="1:10" s="3" customFormat="1" ht="24.75" customHeight="1">
      <c r="A47" s="867" t="s">
        <v>822</v>
      </c>
      <c r="B47" s="867"/>
      <c r="C47" s="133"/>
      <c r="D47" s="147"/>
      <c r="E47" s="147"/>
      <c r="F47" s="163">
        <v>7122854.53</v>
      </c>
      <c r="G47" s="163"/>
      <c r="H47" s="68"/>
      <c r="I47" s="15"/>
      <c r="J47" s="15"/>
    </row>
    <row r="48" spans="1:10" s="3" customFormat="1" ht="20.25" customHeight="1">
      <c r="A48" s="150" t="s">
        <v>767</v>
      </c>
      <c r="B48" s="133" t="s">
        <v>842</v>
      </c>
      <c r="C48" s="133"/>
      <c r="D48" s="164">
        <v>6011299.08</v>
      </c>
      <c r="E48" s="147"/>
      <c r="F48" s="149"/>
      <c r="G48" s="149"/>
      <c r="H48" s="68"/>
      <c r="I48" s="15"/>
      <c r="J48" s="15"/>
    </row>
    <row r="49" spans="1:10" ht="18.75" customHeight="1">
      <c r="A49" s="150"/>
      <c r="B49" s="147" t="s">
        <v>768</v>
      </c>
      <c r="C49" s="147"/>
      <c r="D49" s="151">
        <v>156684</v>
      </c>
      <c r="E49" s="149"/>
      <c r="F49" s="147"/>
      <c r="G49" s="147"/>
      <c r="H49" s="68"/>
      <c r="I49" s="15"/>
      <c r="J49" s="15"/>
    </row>
    <row r="50" spans="1:8" s="15" customFormat="1" ht="20.25" customHeight="1">
      <c r="A50" s="152"/>
      <c r="B50" s="147" t="s">
        <v>844</v>
      </c>
      <c r="C50" s="147"/>
      <c r="D50" s="151">
        <v>43840</v>
      </c>
      <c r="E50" s="149"/>
      <c r="F50" s="147"/>
      <c r="G50" s="147"/>
      <c r="H50" s="68"/>
    </row>
    <row r="51" spans="1:10" ht="23.25" customHeight="1">
      <c r="A51" s="147"/>
      <c r="B51" s="153" t="s">
        <v>845</v>
      </c>
      <c r="C51" s="153"/>
      <c r="D51" s="166">
        <v>3967</v>
      </c>
      <c r="E51" s="154"/>
      <c r="F51" s="155"/>
      <c r="G51" s="155"/>
      <c r="H51" s="68"/>
      <c r="I51" s="15"/>
      <c r="J51" s="15"/>
    </row>
    <row r="52" spans="1:10" ht="21" customHeight="1">
      <c r="A52" s="147"/>
      <c r="B52" s="153" t="s">
        <v>846</v>
      </c>
      <c r="C52" s="153"/>
      <c r="D52" s="166">
        <v>677</v>
      </c>
      <c r="E52" s="154"/>
      <c r="F52" s="155"/>
      <c r="G52" s="155"/>
      <c r="H52" s="68"/>
      <c r="I52" s="15"/>
      <c r="J52" s="15"/>
    </row>
    <row r="53" spans="1:10" ht="23.25" customHeight="1">
      <c r="A53" s="150" t="s">
        <v>769</v>
      </c>
      <c r="B53" s="156" t="s">
        <v>770</v>
      </c>
      <c r="C53" s="156"/>
      <c r="D53" s="154">
        <v>3452900</v>
      </c>
      <c r="E53" s="154"/>
      <c r="F53" s="154"/>
      <c r="G53" s="154"/>
      <c r="H53" s="68"/>
      <c r="I53" s="15"/>
      <c r="J53" s="15"/>
    </row>
    <row r="54" spans="1:8" s="15" customFormat="1" ht="24" customHeight="1">
      <c r="A54" s="150"/>
      <c r="B54" s="156" t="s">
        <v>771</v>
      </c>
      <c r="C54" s="156"/>
      <c r="D54" s="154">
        <v>3005.44</v>
      </c>
      <c r="E54" s="154"/>
      <c r="F54" s="154"/>
      <c r="G54" s="154"/>
      <c r="H54" s="68"/>
    </row>
    <row r="55" spans="1:10" s="28" customFormat="1" ht="23.25" customHeight="1">
      <c r="A55" s="150"/>
      <c r="B55" s="133" t="s">
        <v>843</v>
      </c>
      <c r="C55" s="133"/>
      <c r="D55" s="165">
        <v>1502824.77</v>
      </c>
      <c r="E55" s="154"/>
      <c r="F55" s="155">
        <v>1257736.87</v>
      </c>
      <c r="G55" s="155"/>
      <c r="H55" s="68"/>
      <c r="I55" s="15"/>
      <c r="J55" s="15"/>
    </row>
    <row r="56" spans="1:10" ht="21.75" customHeight="1" thickBot="1">
      <c r="A56" s="147"/>
      <c r="B56" s="156" t="s">
        <v>847</v>
      </c>
      <c r="C56" s="156"/>
      <c r="D56" s="154"/>
      <c r="E56" s="154"/>
      <c r="F56" s="157">
        <f>SUM(F47:F55)</f>
        <v>8380591.4</v>
      </c>
      <c r="G56" s="523"/>
      <c r="H56" s="68"/>
      <c r="I56" s="15"/>
      <c r="J56" s="15"/>
    </row>
    <row r="57" spans="1:10" ht="22.5" customHeight="1" thickTop="1">
      <c r="A57" s="147"/>
      <c r="B57" s="156"/>
      <c r="C57" s="156"/>
      <c r="D57" s="154"/>
      <c r="E57" s="156"/>
      <c r="F57" s="158"/>
      <c r="G57" s="158"/>
      <c r="H57" s="68"/>
      <c r="I57" s="15"/>
      <c r="J57" s="15"/>
    </row>
    <row r="58" spans="1:10" ht="23.25" customHeight="1">
      <c r="A58" s="147"/>
      <c r="B58" s="147"/>
      <c r="C58" s="147"/>
      <c r="D58" s="155"/>
      <c r="E58" s="147"/>
      <c r="F58" s="155"/>
      <c r="G58" s="155"/>
      <c r="H58" s="68"/>
      <c r="I58" s="15"/>
      <c r="J58" s="15"/>
    </row>
    <row r="59" spans="1:10" ht="32.25" customHeight="1">
      <c r="A59" s="153" t="s">
        <v>848</v>
      </c>
      <c r="B59" s="153"/>
      <c r="C59" s="149"/>
      <c r="D59" s="149"/>
      <c r="E59" s="147"/>
      <c r="F59" s="147"/>
      <c r="G59" s="147"/>
      <c r="H59" s="68"/>
      <c r="I59" s="15"/>
      <c r="J59" s="15"/>
    </row>
    <row r="60" spans="1:10" ht="22.5" customHeight="1">
      <c r="A60" s="147"/>
      <c r="B60" s="153" t="s">
        <v>849</v>
      </c>
      <c r="C60" s="159"/>
      <c r="D60" s="149"/>
      <c r="E60" s="147"/>
      <c r="F60" s="149">
        <v>85584.5</v>
      </c>
      <c r="G60" s="149"/>
      <c r="H60" s="68"/>
      <c r="I60" s="15"/>
      <c r="J60" s="15"/>
    </row>
    <row r="61" spans="1:10" ht="24" customHeight="1">
      <c r="A61" s="147"/>
      <c r="B61" s="153" t="s">
        <v>850</v>
      </c>
      <c r="C61" s="159"/>
      <c r="D61" s="149"/>
      <c r="E61" s="147"/>
      <c r="F61" s="149">
        <v>7028395.72</v>
      </c>
      <c r="G61" s="149"/>
      <c r="H61" s="68"/>
      <c r="I61" s="15"/>
      <c r="J61" s="15"/>
    </row>
    <row r="62" spans="1:10" ht="20.25" customHeight="1">
      <c r="A62" s="147"/>
      <c r="B62" s="153"/>
      <c r="C62" s="159"/>
      <c r="D62" s="149"/>
      <c r="E62" s="147"/>
      <c r="F62" s="149"/>
      <c r="G62" s="149"/>
      <c r="H62" s="68"/>
      <c r="I62" s="15"/>
      <c r="J62" s="15"/>
    </row>
    <row r="63" spans="1:10" ht="18" customHeight="1">
      <c r="A63" s="147"/>
      <c r="B63" s="153"/>
      <c r="C63" s="159"/>
      <c r="D63" s="147"/>
      <c r="E63" s="147"/>
      <c r="F63" s="149"/>
      <c r="G63" s="149"/>
      <c r="H63" s="68"/>
      <c r="I63" s="15"/>
      <c r="J63" s="15"/>
    </row>
    <row r="64" spans="1:8" ht="18.75" customHeight="1" thickBot="1">
      <c r="A64" s="147"/>
      <c r="B64" s="147"/>
      <c r="C64" s="147"/>
      <c r="D64" s="147"/>
      <c r="E64" s="147"/>
      <c r="F64" s="160">
        <v>8380591.4</v>
      </c>
      <c r="G64" s="524"/>
      <c r="H64" s="71"/>
    </row>
    <row r="65" spans="1:8" ht="22.5" customHeight="1" thickTop="1">
      <c r="A65" s="147"/>
      <c r="B65" s="147"/>
      <c r="C65" s="147"/>
      <c r="D65" s="147"/>
      <c r="E65" s="147"/>
      <c r="F65" s="154"/>
      <c r="G65" s="154"/>
      <c r="H65" s="71"/>
    </row>
    <row r="66" spans="1:8" ht="18" customHeight="1">
      <c r="A66" s="147"/>
      <c r="B66" s="133"/>
      <c r="C66" s="147"/>
      <c r="D66" s="147"/>
      <c r="E66" s="147"/>
      <c r="F66" s="147"/>
      <c r="G66" s="147"/>
      <c r="H66" s="13"/>
    </row>
    <row r="67" spans="1:8" ht="18.75" customHeight="1">
      <c r="A67" s="147"/>
      <c r="B67" s="161" t="s">
        <v>902</v>
      </c>
      <c r="C67" s="161"/>
      <c r="D67" s="147"/>
      <c r="E67" s="147"/>
      <c r="F67" s="154"/>
      <c r="G67" s="154"/>
      <c r="H67" s="13"/>
    </row>
    <row r="68" spans="1:8" s="29" customFormat="1" ht="23.25" customHeight="1">
      <c r="A68" s="113"/>
      <c r="B68" s="145" t="s">
        <v>853</v>
      </c>
      <c r="C68" s="145"/>
      <c r="D68" s="145"/>
      <c r="E68" s="145"/>
      <c r="F68" s="145"/>
      <c r="G68" s="145"/>
      <c r="H68" s="13"/>
    </row>
    <row r="69" spans="1:14" s="3" customFormat="1" ht="17.25" customHeight="1">
      <c r="A69" s="113"/>
      <c r="B69" s="145"/>
      <c r="C69" s="145"/>
      <c r="D69" s="145"/>
      <c r="E69" s="145"/>
      <c r="F69" s="162"/>
      <c r="G69" s="162"/>
      <c r="H69" s="13"/>
      <c r="J69" s="4"/>
      <c r="K69" s="7"/>
      <c r="L69" s="4"/>
      <c r="M69" s="44"/>
      <c r="N69" s="43"/>
    </row>
    <row r="70" spans="1:14" s="3" customFormat="1" ht="24" customHeight="1">
      <c r="A70" s="113"/>
      <c r="B70" s="145"/>
      <c r="C70" s="145"/>
      <c r="D70" s="145"/>
      <c r="E70" s="145"/>
      <c r="F70" s="145"/>
      <c r="G70" s="145"/>
      <c r="H70" s="124"/>
      <c r="J70" s="4"/>
      <c r="K70" s="7"/>
      <c r="L70" s="4"/>
      <c r="M70" s="44"/>
      <c r="N70" s="43"/>
    </row>
    <row r="71" spans="1:14" s="3" customFormat="1" ht="21.75" customHeight="1">
      <c r="A71" s="4"/>
      <c r="B71" s="7"/>
      <c r="C71" s="75"/>
      <c r="D71" s="122"/>
      <c r="E71" s="123"/>
      <c r="F71" s="123"/>
      <c r="G71" s="123"/>
      <c r="H71" s="124"/>
      <c r="J71" s="4"/>
      <c r="K71" s="7"/>
      <c r="L71" s="4"/>
      <c r="M71" s="44"/>
      <c r="N71" s="43"/>
    </row>
    <row r="72" spans="1:14" s="3" customFormat="1" ht="24" customHeight="1">
      <c r="A72" s="4"/>
      <c r="B72" s="7"/>
      <c r="C72" s="4"/>
      <c r="D72" s="122"/>
      <c r="E72" s="123"/>
      <c r="F72" s="123"/>
      <c r="G72" s="123"/>
      <c r="H72" s="124"/>
      <c r="J72" s="4"/>
      <c r="K72" s="7"/>
      <c r="L72" s="4"/>
      <c r="M72" s="44"/>
      <c r="N72" s="43"/>
    </row>
    <row r="73" spans="1:14" s="3" customFormat="1" ht="24" customHeight="1">
      <c r="A73" s="4"/>
      <c r="B73" s="7"/>
      <c r="C73" s="4"/>
      <c r="D73" s="122"/>
      <c r="E73" s="123"/>
      <c r="F73" s="123"/>
      <c r="G73" s="123"/>
      <c r="H73" s="124"/>
      <c r="J73" s="4"/>
      <c r="K73" s="7"/>
      <c r="L73" s="4"/>
      <c r="M73" s="44"/>
      <c r="N73" s="43"/>
    </row>
    <row r="74" spans="1:14" s="3" customFormat="1" ht="22.5" customHeight="1">
      <c r="A74" s="4"/>
      <c r="B74" s="7"/>
      <c r="C74" s="4"/>
      <c r="D74" s="75"/>
      <c r="E74" s="75"/>
      <c r="F74" s="77"/>
      <c r="G74" s="77"/>
      <c r="H74" s="124"/>
      <c r="J74" s="4"/>
      <c r="K74" s="7"/>
      <c r="L74" s="4"/>
      <c r="M74" s="44"/>
      <c r="N74" s="43"/>
    </row>
    <row r="75" spans="1:14" s="3" customFormat="1" ht="24" customHeight="1">
      <c r="A75" s="4"/>
      <c r="B75" s="7"/>
      <c r="C75" s="4"/>
      <c r="D75" s="75"/>
      <c r="E75" s="75"/>
      <c r="F75" s="77"/>
      <c r="G75" s="77"/>
      <c r="H75" s="124"/>
      <c r="J75" s="4"/>
      <c r="K75" s="7"/>
      <c r="L75" s="4"/>
      <c r="M75" s="44"/>
      <c r="N75" s="43"/>
    </row>
    <row r="76" spans="1:14" s="3" customFormat="1" ht="21.75" customHeight="1">
      <c r="A76" s="4"/>
      <c r="B76" s="7"/>
      <c r="C76" s="4"/>
      <c r="D76" s="75"/>
      <c r="E76" s="75"/>
      <c r="F76" s="77"/>
      <c r="G76" s="77"/>
      <c r="H76" s="124"/>
      <c r="J76" s="4"/>
      <c r="K76" s="7"/>
      <c r="L76" s="4"/>
      <c r="M76" s="44"/>
      <c r="N76" s="43"/>
    </row>
    <row r="77" spans="1:14" s="3" customFormat="1" ht="25.5" customHeight="1">
      <c r="A77" s="55"/>
      <c r="B77" s="4"/>
      <c r="C77" s="4"/>
      <c r="D77" s="125"/>
      <c r="E77" s="75"/>
      <c r="F77" s="68"/>
      <c r="G77" s="68"/>
      <c r="H77" s="1"/>
      <c r="J77" s="4"/>
      <c r="K77" s="7"/>
      <c r="L77" s="4"/>
      <c r="M77" s="44"/>
      <c r="N77" s="43"/>
    </row>
    <row r="78" spans="1:14" s="3" customFormat="1" ht="25.5" customHeight="1">
      <c r="A78" s="55"/>
      <c r="B78" s="4"/>
      <c r="C78" s="4"/>
      <c r="D78" s="125"/>
      <c r="E78" s="75"/>
      <c r="F78" s="68"/>
      <c r="G78" s="68"/>
      <c r="H78" s="1"/>
      <c r="J78" s="4"/>
      <c r="K78" s="7"/>
      <c r="L78" s="4"/>
      <c r="M78" s="44"/>
      <c r="N78" s="43"/>
    </row>
    <row r="79" spans="1:14" s="3" customFormat="1" ht="23.25" customHeight="1">
      <c r="A79" s="4"/>
      <c r="B79" s="4"/>
      <c r="C79" s="4"/>
      <c r="D79" s="75"/>
      <c r="E79" s="75"/>
      <c r="F79" s="77"/>
      <c r="G79" s="77"/>
      <c r="H79" s="1"/>
      <c r="J79" s="4"/>
      <c r="K79" s="7"/>
      <c r="L79" s="4"/>
      <c r="M79" s="44"/>
      <c r="N79" s="43"/>
    </row>
    <row r="80" spans="1:14" ht="21" customHeight="1">
      <c r="A80" s="868"/>
      <c r="B80" s="868"/>
      <c r="C80" s="868"/>
      <c r="D80" s="60"/>
      <c r="E80" s="60"/>
      <c r="F80" s="61"/>
      <c r="G80" s="61"/>
      <c r="H80" s="1"/>
      <c r="J80" s="4"/>
      <c r="K80" s="7"/>
      <c r="L80" s="4"/>
      <c r="M80" s="44"/>
      <c r="N80" s="43"/>
    </row>
    <row r="81" spans="1:14" ht="23.25" customHeight="1">
      <c r="A81" s="39"/>
      <c r="B81" s="39"/>
      <c r="C81" s="39"/>
      <c r="D81" s="60"/>
      <c r="E81" s="60"/>
      <c r="F81" s="61"/>
      <c r="G81" s="61"/>
      <c r="H81" s="1"/>
      <c r="J81" s="4"/>
      <c r="K81" s="7"/>
      <c r="L81" s="4"/>
      <c r="M81" s="44"/>
      <c r="N81" s="43"/>
    </row>
    <row r="82" spans="1:14" ht="27.75" customHeight="1">
      <c r="A82" s="1"/>
      <c r="B82" s="1"/>
      <c r="C82" s="1"/>
      <c r="D82" s="50"/>
      <c r="E82" s="1"/>
      <c r="F82" s="1"/>
      <c r="G82" s="1"/>
      <c r="H82" s="1"/>
      <c r="J82" s="4"/>
      <c r="K82" s="7"/>
      <c r="L82" s="4"/>
      <c r="M82" s="44"/>
      <c r="N82" s="43"/>
    </row>
    <row r="83" spans="1:14" ht="22.5" customHeight="1">
      <c r="A83" s="806"/>
      <c r="B83" s="806"/>
      <c r="C83" s="806"/>
      <c r="D83" s="806"/>
      <c r="E83" s="806"/>
      <c r="F83" s="806"/>
      <c r="G83" s="806"/>
      <c r="H83" s="806"/>
      <c r="J83" s="4"/>
      <c r="K83" s="7"/>
      <c r="L83" s="4"/>
      <c r="M83" s="44"/>
      <c r="N83" s="43"/>
    </row>
    <row r="84" spans="1:14" ht="18" customHeight="1">
      <c r="A84" s="1"/>
      <c r="B84" s="1"/>
      <c r="C84" s="1"/>
      <c r="D84" s="802"/>
      <c r="E84" s="802"/>
      <c r="F84" s="68"/>
      <c r="G84" s="68"/>
      <c r="H84" s="77"/>
      <c r="J84" s="4"/>
      <c r="K84" s="7"/>
      <c r="L84" s="4"/>
      <c r="M84" s="44"/>
      <c r="N84" s="43"/>
    </row>
    <row r="85" spans="1:14" ht="21.75" customHeight="1">
      <c r="A85" s="1"/>
      <c r="B85" s="1"/>
      <c r="C85" s="1"/>
      <c r="D85" s="881"/>
      <c r="E85" s="881"/>
      <c r="F85" s="68"/>
      <c r="G85" s="68"/>
      <c r="H85" s="77"/>
      <c r="J85" s="4"/>
      <c r="K85" s="7"/>
      <c r="L85" s="4"/>
      <c r="M85" s="44"/>
      <c r="N85" s="43"/>
    </row>
    <row r="86" spans="1:14" ht="21.75" customHeight="1">
      <c r="A86" s="129"/>
      <c r="B86" s="1"/>
      <c r="C86" s="42"/>
      <c r="D86" s="130"/>
      <c r="E86" s="130"/>
      <c r="F86" s="68"/>
      <c r="G86" s="68"/>
      <c r="H86" s="71"/>
      <c r="J86" s="4"/>
      <c r="K86" s="7"/>
      <c r="L86" s="4"/>
      <c r="M86" s="44"/>
      <c r="N86" s="43"/>
    </row>
    <row r="87" spans="1:14" ht="21.75" customHeight="1">
      <c r="A87" s="42"/>
      <c r="B87" s="129"/>
      <c r="C87" s="42"/>
      <c r="D87" s="130"/>
      <c r="E87" s="130"/>
      <c r="F87" s="68"/>
      <c r="G87" s="68"/>
      <c r="H87" s="71"/>
      <c r="J87" s="4"/>
      <c r="K87" s="7"/>
      <c r="L87" s="4"/>
      <c r="M87" s="44"/>
      <c r="N87" s="43"/>
    </row>
    <row r="88" spans="1:14" ht="18.75" customHeight="1">
      <c r="A88" s="42"/>
      <c r="B88" s="42"/>
      <c r="C88" s="42"/>
      <c r="D88" s="75"/>
      <c r="E88" s="131"/>
      <c r="F88" s="77"/>
      <c r="G88" s="77"/>
      <c r="H88" s="71"/>
      <c r="J88" s="4"/>
      <c r="K88" s="7"/>
      <c r="L88" s="4"/>
      <c r="M88" s="44"/>
      <c r="N88" s="43"/>
    </row>
    <row r="89" spans="1:14" ht="21" customHeight="1">
      <c r="A89" s="42"/>
      <c r="B89" s="42"/>
      <c r="C89" s="42"/>
      <c r="D89" s="71"/>
      <c r="E89" s="131"/>
      <c r="F89" s="77"/>
      <c r="G89" s="77"/>
      <c r="H89" s="71"/>
      <c r="J89" s="4"/>
      <c r="K89" s="7"/>
      <c r="L89" s="4"/>
      <c r="M89" s="44"/>
      <c r="N89" s="43"/>
    </row>
    <row r="90" spans="1:14" ht="19.5" customHeight="1">
      <c r="A90" s="42"/>
      <c r="B90" s="42"/>
      <c r="C90" s="42"/>
      <c r="D90" s="71"/>
      <c r="E90" s="131"/>
      <c r="F90" s="77"/>
      <c r="G90" s="77"/>
      <c r="H90" s="71"/>
      <c r="J90" s="4"/>
      <c r="K90" s="7"/>
      <c r="L90" s="4"/>
      <c r="M90" s="44"/>
      <c r="N90" s="43"/>
    </row>
    <row r="91" spans="1:14" ht="18.75" customHeight="1">
      <c r="A91" s="42"/>
      <c r="B91" s="42"/>
      <c r="C91" s="42"/>
      <c r="D91" s="71"/>
      <c r="E91" s="131"/>
      <c r="F91" s="77"/>
      <c r="G91" s="77"/>
      <c r="H91" s="71"/>
      <c r="J91" s="4"/>
      <c r="K91" s="7"/>
      <c r="L91" s="4"/>
      <c r="M91" s="44"/>
      <c r="N91" s="43"/>
    </row>
    <row r="92" spans="1:14" ht="19.5" customHeight="1">
      <c r="A92" s="42"/>
      <c r="B92" s="42"/>
      <c r="C92" s="42"/>
      <c r="D92" s="71"/>
      <c r="E92" s="131"/>
      <c r="F92" s="77"/>
      <c r="G92" s="77"/>
      <c r="H92" s="71"/>
      <c r="J92" s="4"/>
      <c r="K92" s="7"/>
      <c r="L92" s="4"/>
      <c r="M92" s="44"/>
      <c r="N92" s="43"/>
    </row>
    <row r="93" spans="1:14" ht="20.25" customHeight="1">
      <c r="A93" s="42"/>
      <c r="B93" s="42"/>
      <c r="C93" s="42"/>
      <c r="D93" s="71"/>
      <c r="E93" s="131"/>
      <c r="F93" s="77"/>
      <c r="G93" s="77"/>
      <c r="H93" s="71"/>
      <c r="J93" s="4"/>
      <c r="K93" s="7"/>
      <c r="L93" s="4"/>
      <c r="M93" s="44"/>
      <c r="N93" s="43"/>
    </row>
    <row r="94" spans="1:14" ht="24" customHeight="1" thickBot="1">
      <c r="A94" s="42"/>
      <c r="B94" s="42"/>
      <c r="C94" s="42"/>
      <c r="D94" s="75"/>
      <c r="E94" s="131"/>
      <c r="F94" s="77"/>
      <c r="G94" s="77"/>
      <c r="H94" s="71"/>
      <c r="J94" s="800"/>
      <c r="K94" s="800"/>
      <c r="L94" s="800"/>
      <c r="M94" s="59"/>
      <c r="N94" s="63"/>
    </row>
    <row r="95" spans="1:8" ht="19.5" customHeight="1" thickTop="1">
      <c r="A95" s="42"/>
      <c r="B95" s="42"/>
      <c r="C95" s="42"/>
      <c r="D95" s="75"/>
      <c r="E95" s="131"/>
      <c r="F95" s="77"/>
      <c r="G95" s="77"/>
      <c r="H95" s="71"/>
    </row>
    <row r="96" spans="1:8" ht="21" customHeight="1">
      <c r="A96" s="42"/>
      <c r="B96" s="42"/>
      <c r="C96" s="42"/>
      <c r="D96" s="75"/>
      <c r="E96" s="131"/>
      <c r="F96" s="77"/>
      <c r="G96" s="77"/>
      <c r="H96" s="71"/>
    </row>
    <row r="97" spans="1:8" ht="19.5" customHeight="1">
      <c r="A97" s="42"/>
      <c r="B97" s="42"/>
      <c r="C97" s="42"/>
      <c r="D97" s="75"/>
      <c r="E97" s="131"/>
      <c r="F97" s="77"/>
      <c r="G97" s="77"/>
      <c r="H97" s="71"/>
    </row>
    <row r="98" spans="1:8" ht="21.75" customHeight="1">
      <c r="A98" s="872"/>
      <c r="B98" s="872"/>
      <c r="C98" s="872"/>
      <c r="D98" s="60"/>
      <c r="E98" s="96"/>
      <c r="F98" s="77"/>
      <c r="G98" s="77"/>
      <c r="H98" s="124"/>
    </row>
    <row r="99" spans="1:8" s="28" customFormat="1" ht="22.5" customHeight="1">
      <c r="A99" s="42"/>
      <c r="B99" s="42"/>
      <c r="C99" s="42"/>
      <c r="D99" s="75"/>
      <c r="E99" s="131"/>
      <c r="F99" s="68"/>
      <c r="G99" s="68"/>
      <c r="H99" s="71"/>
    </row>
    <row r="100" spans="1:8" s="3" customFormat="1" ht="18.75" customHeight="1">
      <c r="A100" s="42"/>
      <c r="B100" s="42"/>
      <c r="C100" s="42"/>
      <c r="D100" s="75"/>
      <c r="E100" s="37"/>
      <c r="F100" s="77"/>
      <c r="G100" s="77"/>
      <c r="H100" s="71"/>
    </row>
    <row r="101" spans="1:8" s="3" customFormat="1" ht="21.75" customHeight="1">
      <c r="A101" s="42"/>
      <c r="B101" s="42"/>
      <c r="C101" s="42"/>
      <c r="D101" s="37"/>
      <c r="E101" s="37"/>
      <c r="F101" s="77"/>
      <c r="G101" s="77"/>
      <c r="H101" s="71"/>
    </row>
    <row r="102" spans="1:8" ht="19.5" customHeight="1">
      <c r="A102" s="872"/>
      <c r="B102" s="872"/>
      <c r="C102" s="872"/>
      <c r="D102" s="96"/>
      <c r="E102" s="96"/>
      <c r="F102" s="77"/>
      <c r="G102" s="77"/>
      <c r="H102" s="71"/>
    </row>
    <row r="103" spans="1:8" ht="19.5" customHeight="1">
      <c r="A103" s="804"/>
      <c r="B103" s="804"/>
      <c r="C103" s="804"/>
      <c r="D103" s="132"/>
      <c r="E103" s="132"/>
      <c r="F103" s="45"/>
      <c r="G103" s="45"/>
      <c r="H103" s="132"/>
    </row>
    <row r="104" spans="1:8" ht="26.25" customHeight="1">
      <c r="A104" s="66"/>
      <c r="B104" s="4"/>
      <c r="C104" s="86"/>
      <c r="D104" s="126"/>
      <c r="E104" s="60"/>
      <c r="F104" s="68"/>
      <c r="G104" s="68"/>
      <c r="H104" s="71"/>
    </row>
    <row r="105" spans="1:8" ht="23.25" customHeight="1">
      <c r="A105" s="4"/>
      <c r="B105" s="4"/>
      <c r="C105" s="4"/>
      <c r="D105" s="71"/>
      <c r="E105" s="75"/>
      <c r="F105" s="68"/>
      <c r="G105" s="68"/>
      <c r="H105" s="71"/>
    </row>
    <row r="106" spans="1:8" ht="18.75" customHeight="1">
      <c r="A106" s="4"/>
      <c r="B106" s="4"/>
      <c r="C106" s="4"/>
      <c r="D106" s="71"/>
      <c r="E106" s="75"/>
      <c r="F106" s="68"/>
      <c r="G106" s="68"/>
      <c r="H106" s="71"/>
    </row>
    <row r="107" spans="1:8" ht="19.5" customHeight="1">
      <c r="A107" s="4"/>
      <c r="B107" s="4"/>
      <c r="C107" s="4"/>
      <c r="D107" s="71"/>
      <c r="E107" s="75"/>
      <c r="F107" s="68"/>
      <c r="G107" s="68"/>
      <c r="H107" s="71"/>
    </row>
    <row r="108" spans="1:8" ht="21" customHeight="1">
      <c r="A108" s="4"/>
      <c r="B108" s="4"/>
      <c r="C108" s="4"/>
      <c r="D108" s="71"/>
      <c r="E108" s="75"/>
      <c r="F108" s="68"/>
      <c r="G108" s="68"/>
      <c r="H108" s="71"/>
    </row>
    <row r="109" spans="1:8" ht="20.25" customHeight="1">
      <c r="A109" s="4"/>
      <c r="B109" s="7"/>
      <c r="C109" s="4"/>
      <c r="D109" s="71"/>
      <c r="E109" s="75"/>
      <c r="F109" s="68"/>
      <c r="G109" s="68"/>
      <c r="H109" s="71"/>
    </row>
    <row r="110" spans="1:8" ht="19.5" customHeight="1">
      <c r="A110" s="4"/>
      <c r="B110" s="7"/>
      <c r="C110" s="4"/>
      <c r="D110" s="71"/>
      <c r="E110" s="75"/>
      <c r="F110" s="68"/>
      <c r="G110" s="68"/>
      <c r="H110" s="71"/>
    </row>
    <row r="111" spans="1:8" ht="19.5" customHeight="1">
      <c r="A111" s="4"/>
      <c r="B111" s="7"/>
      <c r="C111" s="4"/>
      <c r="D111" s="71"/>
      <c r="E111" s="75"/>
      <c r="F111" s="68"/>
      <c r="G111" s="68"/>
      <c r="H111" s="71"/>
    </row>
    <row r="112" spans="1:8" ht="19.5" customHeight="1">
      <c r="A112" s="4"/>
      <c r="B112" s="64"/>
      <c r="C112" s="4"/>
      <c r="D112" s="71"/>
      <c r="E112" s="75"/>
      <c r="F112" s="68"/>
      <c r="G112" s="68"/>
      <c r="H112" s="71"/>
    </row>
    <row r="113" spans="1:8" ht="19.5" customHeight="1">
      <c r="A113" s="4"/>
      <c r="B113" s="7"/>
      <c r="C113" s="7"/>
      <c r="D113" s="71"/>
      <c r="E113" s="75"/>
      <c r="F113" s="68"/>
      <c r="G113" s="68"/>
      <c r="H113" s="71"/>
    </row>
    <row r="114" spans="1:8" ht="22.5" customHeight="1">
      <c r="A114" s="4"/>
      <c r="B114" s="7"/>
      <c r="C114" s="4"/>
      <c r="D114" s="71"/>
      <c r="E114" s="75"/>
      <c r="F114" s="68"/>
      <c r="G114" s="68"/>
      <c r="H114" s="71"/>
    </row>
    <row r="115" spans="1:8" ht="19.5" customHeight="1">
      <c r="A115" s="804"/>
      <c r="B115" s="804"/>
      <c r="C115" s="804"/>
      <c r="D115" s="96"/>
      <c r="E115" s="96"/>
      <c r="F115" s="77"/>
      <c r="G115" s="77"/>
      <c r="H115" s="71"/>
    </row>
    <row r="116" spans="1:8" ht="19.5" customHeight="1">
      <c r="A116" s="45"/>
      <c r="B116" s="45"/>
      <c r="C116" s="45"/>
      <c r="D116" s="96"/>
      <c r="E116" s="96"/>
      <c r="F116" s="77"/>
      <c r="G116" s="77"/>
      <c r="H116" s="71"/>
    </row>
    <row r="117" spans="1:8" ht="19.5" customHeight="1">
      <c r="A117" s="45"/>
      <c r="B117" s="45"/>
      <c r="C117" s="45"/>
      <c r="D117" s="96"/>
      <c r="E117" s="96"/>
      <c r="F117" s="77"/>
      <c r="G117" s="77"/>
      <c r="H117" s="71"/>
    </row>
    <row r="118" spans="1:8" ht="19.5" customHeight="1">
      <c r="A118" s="68"/>
      <c r="B118" s="71"/>
      <c r="C118" s="13"/>
      <c r="D118" s="13"/>
      <c r="E118" s="13"/>
      <c r="F118" s="13"/>
      <c r="G118" s="13"/>
      <c r="H118" s="71"/>
    </row>
    <row r="119" spans="1:8" ht="19.5" customHeight="1">
      <c r="A119" s="4"/>
      <c r="B119" s="7"/>
      <c r="C119" s="4"/>
      <c r="D119" s="71"/>
      <c r="E119" s="75"/>
      <c r="F119" s="68"/>
      <c r="G119" s="68"/>
      <c r="H119" s="71"/>
    </row>
    <row r="120" spans="1:8" ht="19.5" customHeight="1">
      <c r="A120" s="4"/>
      <c r="B120" s="7"/>
      <c r="C120" s="4"/>
      <c r="D120" s="71"/>
      <c r="E120" s="75"/>
      <c r="F120" s="68"/>
      <c r="G120" s="68"/>
      <c r="H120" s="71"/>
    </row>
    <row r="121" spans="1:8" ht="19.5" customHeight="1">
      <c r="A121" s="4"/>
      <c r="B121" s="7"/>
      <c r="C121" s="4"/>
      <c r="D121" s="71"/>
      <c r="E121" s="75"/>
      <c r="F121" s="68"/>
      <c r="G121" s="68"/>
      <c r="H121" s="71"/>
    </row>
    <row r="122" spans="1:8" ht="19.5" customHeight="1">
      <c r="A122" s="4"/>
      <c r="B122" s="7"/>
      <c r="C122" s="4"/>
      <c r="D122" s="71"/>
      <c r="E122" s="75"/>
      <c r="F122" s="68"/>
      <c r="G122" s="68"/>
      <c r="H122" s="71"/>
    </row>
    <row r="123" spans="1:8" ht="22.5" customHeight="1">
      <c r="A123" s="877" t="s">
        <v>439</v>
      </c>
      <c r="B123" s="877"/>
      <c r="C123" s="877"/>
      <c r="D123" s="877"/>
      <c r="E123" s="877"/>
      <c r="F123" s="877"/>
      <c r="G123" s="877"/>
      <c r="H123" s="877"/>
    </row>
    <row r="124" spans="1:8" ht="23.25" customHeight="1">
      <c r="A124" s="4"/>
      <c r="B124" s="7"/>
      <c r="C124" s="4"/>
      <c r="D124" s="875" t="s">
        <v>1131</v>
      </c>
      <c r="E124" s="875" t="s">
        <v>1137</v>
      </c>
      <c r="F124" s="47" t="s">
        <v>1133</v>
      </c>
      <c r="G124" s="525"/>
      <c r="H124" s="5" t="s">
        <v>1134</v>
      </c>
    </row>
    <row r="125" spans="1:8" ht="19.5" customHeight="1">
      <c r="A125" s="4"/>
      <c r="B125" s="7"/>
      <c r="C125" s="4"/>
      <c r="D125" s="876"/>
      <c r="E125" s="876"/>
      <c r="F125" s="69" t="s">
        <v>1126</v>
      </c>
      <c r="G125" s="6"/>
      <c r="H125" s="6"/>
    </row>
    <row r="126" spans="1:8" ht="22.5" customHeight="1">
      <c r="A126" s="66"/>
      <c r="B126" s="4"/>
      <c r="C126" s="86" t="s">
        <v>612</v>
      </c>
      <c r="D126" s="57"/>
      <c r="E126" s="62"/>
      <c r="F126" s="35"/>
      <c r="G126" s="35"/>
      <c r="H126" s="44"/>
    </row>
    <row r="127" spans="1:8" ht="19.5" customHeight="1">
      <c r="A127" s="4" t="s">
        <v>1155</v>
      </c>
      <c r="B127" s="4" t="s">
        <v>613</v>
      </c>
      <c r="C127" s="4"/>
      <c r="D127" s="43">
        <v>320000</v>
      </c>
      <c r="E127" s="43">
        <v>318000</v>
      </c>
      <c r="F127" s="35"/>
      <c r="G127" s="35"/>
      <c r="H127" s="44">
        <f aca="true" t="shared" si="0" ref="H127:H145">D127-E127</f>
        <v>2000</v>
      </c>
    </row>
    <row r="128" spans="1:8" ht="19.5" customHeight="1">
      <c r="A128" s="4" t="s">
        <v>1156</v>
      </c>
      <c r="B128" s="7" t="s">
        <v>614</v>
      </c>
      <c r="C128" s="4"/>
      <c r="D128" s="43">
        <v>132325.83</v>
      </c>
      <c r="E128" s="43">
        <v>132325.83</v>
      </c>
      <c r="F128" s="35"/>
      <c r="G128" s="35"/>
      <c r="H128" s="44">
        <f t="shared" si="0"/>
        <v>0</v>
      </c>
    </row>
    <row r="129" spans="1:8" ht="19.5" customHeight="1">
      <c r="A129" s="4" t="s">
        <v>1157</v>
      </c>
      <c r="B129" s="7" t="s">
        <v>622</v>
      </c>
      <c r="C129" s="4"/>
      <c r="D129" s="43">
        <v>60734.27</v>
      </c>
      <c r="E129" s="43">
        <v>60734.27</v>
      </c>
      <c r="F129" s="35"/>
      <c r="G129" s="35"/>
      <c r="H129" s="44">
        <f t="shared" si="0"/>
        <v>0</v>
      </c>
    </row>
    <row r="130" spans="1:8" ht="19.5" customHeight="1">
      <c r="A130" s="4" t="s">
        <v>1158</v>
      </c>
      <c r="B130" s="7" t="s">
        <v>623</v>
      </c>
      <c r="C130" s="4"/>
      <c r="D130" s="44">
        <v>369800</v>
      </c>
      <c r="E130" s="43">
        <v>368000</v>
      </c>
      <c r="F130" s="35"/>
      <c r="G130" s="35"/>
      <c r="H130" s="44">
        <f t="shared" si="0"/>
        <v>1800</v>
      </c>
    </row>
    <row r="131" spans="1:8" ht="19.5" customHeight="1">
      <c r="A131" s="4" t="s">
        <v>1159</v>
      </c>
      <c r="B131" s="7" t="s">
        <v>624</v>
      </c>
      <c r="C131" s="4"/>
      <c r="D131" s="44">
        <v>641100</v>
      </c>
      <c r="E131" s="43">
        <v>429000</v>
      </c>
      <c r="F131" s="35"/>
      <c r="G131" s="35"/>
      <c r="H131" s="44">
        <f t="shared" si="0"/>
        <v>212100</v>
      </c>
    </row>
    <row r="132" spans="1:8" ht="19.5" customHeight="1">
      <c r="A132" s="4" t="s">
        <v>1161</v>
      </c>
      <c r="B132" s="7" t="s">
        <v>625</v>
      </c>
      <c r="C132" s="4"/>
      <c r="D132" s="44">
        <v>503600</v>
      </c>
      <c r="E132" s="43">
        <v>320000</v>
      </c>
      <c r="F132" s="35"/>
      <c r="G132" s="35"/>
      <c r="H132" s="44">
        <f t="shared" si="0"/>
        <v>183600</v>
      </c>
    </row>
    <row r="133" spans="1:8" ht="23.25" customHeight="1">
      <c r="A133" s="4" t="s">
        <v>1160</v>
      </c>
      <c r="B133" s="7" t="s">
        <v>626</v>
      </c>
      <c r="C133" s="4"/>
      <c r="D133" s="44">
        <v>602400</v>
      </c>
      <c r="E133" s="43">
        <v>470000</v>
      </c>
      <c r="F133" s="35"/>
      <c r="G133" s="35"/>
      <c r="H133" s="44">
        <f t="shared" si="0"/>
        <v>132400</v>
      </c>
    </row>
    <row r="134" spans="1:8" ht="19.5" customHeight="1">
      <c r="A134" s="4" t="s">
        <v>1162</v>
      </c>
      <c r="B134" s="7" t="s">
        <v>627</v>
      </c>
      <c r="C134" s="4"/>
      <c r="D134" s="44">
        <v>33000</v>
      </c>
      <c r="E134" s="43">
        <v>33000</v>
      </c>
      <c r="F134" s="35"/>
      <c r="G134" s="35"/>
      <c r="H134" s="44">
        <f t="shared" si="0"/>
        <v>0</v>
      </c>
    </row>
    <row r="135" spans="1:8" ht="19.5" customHeight="1">
      <c r="A135" s="4" t="s">
        <v>1173</v>
      </c>
      <c r="B135" s="7" t="s">
        <v>628</v>
      </c>
      <c r="C135" s="4"/>
      <c r="D135" s="44">
        <v>44000</v>
      </c>
      <c r="E135" s="43">
        <v>43500</v>
      </c>
      <c r="F135" s="35"/>
      <c r="G135" s="35"/>
      <c r="H135" s="44">
        <f t="shared" si="0"/>
        <v>500</v>
      </c>
    </row>
    <row r="136" spans="1:8" ht="19.5" customHeight="1">
      <c r="A136" s="4" t="s">
        <v>255</v>
      </c>
      <c r="B136" s="7" t="s">
        <v>629</v>
      </c>
      <c r="C136" s="4"/>
      <c r="D136" s="44">
        <v>40900</v>
      </c>
      <c r="E136" s="43">
        <v>40900</v>
      </c>
      <c r="F136" s="35"/>
      <c r="G136" s="35"/>
      <c r="H136" s="44">
        <f t="shared" si="0"/>
        <v>0</v>
      </c>
    </row>
    <row r="137" spans="1:8" ht="19.5" customHeight="1">
      <c r="A137" s="4" t="s">
        <v>640</v>
      </c>
      <c r="B137" s="7" t="s">
        <v>630</v>
      </c>
      <c r="C137" s="4"/>
      <c r="D137" s="44">
        <v>22600</v>
      </c>
      <c r="E137" s="43">
        <v>22600</v>
      </c>
      <c r="F137" s="35"/>
      <c r="G137" s="35"/>
      <c r="H137" s="44">
        <f t="shared" si="0"/>
        <v>0</v>
      </c>
    </row>
    <row r="138" spans="1:8" ht="21.75" customHeight="1">
      <c r="A138" s="4" t="s">
        <v>641</v>
      </c>
      <c r="B138" s="7" t="s">
        <v>631</v>
      </c>
      <c r="C138" s="4"/>
      <c r="D138" s="44">
        <v>104100</v>
      </c>
      <c r="E138" s="43">
        <v>104000</v>
      </c>
      <c r="F138" s="35"/>
      <c r="G138" s="35"/>
      <c r="H138" s="44">
        <f t="shared" si="0"/>
        <v>100</v>
      </c>
    </row>
    <row r="139" spans="1:8" ht="19.5" customHeight="1">
      <c r="A139" s="4" t="s">
        <v>642</v>
      </c>
      <c r="B139" s="7" t="s">
        <v>632</v>
      </c>
      <c r="C139" s="4"/>
      <c r="D139" s="44">
        <v>657400</v>
      </c>
      <c r="E139" s="43">
        <v>655000</v>
      </c>
      <c r="F139" s="35"/>
      <c r="G139" s="35"/>
      <c r="H139" s="44">
        <f t="shared" si="0"/>
        <v>2400</v>
      </c>
    </row>
    <row r="140" spans="1:8" ht="19.5" customHeight="1">
      <c r="A140" s="4" t="s">
        <v>643</v>
      </c>
      <c r="B140" s="7" t="s">
        <v>633</v>
      </c>
      <c r="C140" s="4"/>
      <c r="D140" s="44">
        <v>200600</v>
      </c>
      <c r="E140" s="43">
        <v>199000</v>
      </c>
      <c r="F140" s="35"/>
      <c r="G140" s="35"/>
      <c r="H140" s="44">
        <f t="shared" si="0"/>
        <v>1600</v>
      </c>
    </row>
    <row r="141" spans="1:8" ht="19.5" customHeight="1">
      <c r="A141" s="4" t="s">
        <v>644</v>
      </c>
      <c r="B141" s="7" t="s">
        <v>634</v>
      </c>
      <c r="C141" s="4"/>
      <c r="D141" s="44">
        <v>998200</v>
      </c>
      <c r="E141" s="43">
        <v>648000</v>
      </c>
      <c r="F141" s="35"/>
      <c r="G141" s="35"/>
      <c r="H141" s="44">
        <f t="shared" si="0"/>
        <v>350200</v>
      </c>
    </row>
    <row r="142" spans="1:8" ht="18.75" customHeight="1">
      <c r="A142" s="4" t="s">
        <v>645</v>
      </c>
      <c r="B142" s="89" t="s">
        <v>635</v>
      </c>
      <c r="C142" s="90"/>
      <c r="D142" s="44">
        <v>115000</v>
      </c>
      <c r="E142" s="43">
        <v>0</v>
      </c>
      <c r="F142" s="35"/>
      <c r="G142" s="35"/>
      <c r="H142" s="44">
        <f t="shared" si="0"/>
        <v>115000</v>
      </c>
    </row>
    <row r="143" spans="1:8" ht="18" customHeight="1">
      <c r="A143" s="4" t="s">
        <v>646</v>
      </c>
      <c r="B143" s="7" t="s">
        <v>636</v>
      </c>
      <c r="C143" s="4"/>
      <c r="D143" s="44">
        <v>174800</v>
      </c>
      <c r="E143" s="43">
        <v>170000</v>
      </c>
      <c r="F143" s="35"/>
      <c r="G143" s="35"/>
      <c r="H143" s="44">
        <f t="shared" si="0"/>
        <v>4800</v>
      </c>
    </row>
    <row r="144" spans="1:8" ht="21" customHeight="1">
      <c r="A144" s="4" t="s">
        <v>647</v>
      </c>
      <c r="B144" s="7" t="s">
        <v>637</v>
      </c>
      <c r="C144" s="4"/>
      <c r="D144" s="44">
        <v>429804</v>
      </c>
      <c r="E144" s="43">
        <v>429804</v>
      </c>
      <c r="F144" s="35"/>
      <c r="G144" s="35"/>
      <c r="H144" s="44">
        <f t="shared" si="0"/>
        <v>0</v>
      </c>
    </row>
    <row r="145" spans="1:8" ht="19.5" customHeight="1" thickBot="1">
      <c r="A145" s="873" t="s">
        <v>638</v>
      </c>
      <c r="B145" s="873"/>
      <c r="C145" s="874"/>
      <c r="D145" s="59">
        <f>SUM(D127:D144)</f>
        <v>5450364.1</v>
      </c>
      <c r="E145" s="63">
        <f>SUM(E127:E144)</f>
        <v>4443864.1</v>
      </c>
      <c r="F145" s="65"/>
      <c r="G145" s="65"/>
      <c r="H145" s="58">
        <f t="shared" si="0"/>
        <v>1006500</v>
      </c>
    </row>
    <row r="146" spans="1:8" ht="19.5" customHeight="1" thickTop="1">
      <c r="A146" s="4"/>
      <c r="B146" s="7"/>
      <c r="C146" s="86" t="s">
        <v>254</v>
      </c>
      <c r="D146" s="88"/>
      <c r="E146" s="43"/>
      <c r="F146" s="36"/>
      <c r="G146" s="36"/>
      <c r="H146" s="44"/>
    </row>
    <row r="147" spans="1:8" ht="19.5" customHeight="1">
      <c r="A147" s="4" t="s">
        <v>1155</v>
      </c>
      <c r="B147" s="7" t="s">
        <v>609</v>
      </c>
      <c r="C147" s="4"/>
      <c r="D147" s="44"/>
      <c r="E147" s="43">
        <v>81950</v>
      </c>
      <c r="F147" s="36"/>
      <c r="G147" s="36"/>
      <c r="H147" s="44"/>
    </row>
    <row r="148" spans="1:8" ht="19.5" customHeight="1">
      <c r="A148" s="34" t="s">
        <v>1156</v>
      </c>
      <c r="B148" s="71" t="s">
        <v>610</v>
      </c>
      <c r="C148" s="13"/>
      <c r="D148" s="85"/>
      <c r="E148" s="44">
        <v>174482.15</v>
      </c>
      <c r="F148" s="84"/>
      <c r="G148" s="84"/>
      <c r="H148" s="85"/>
    </row>
    <row r="149" spans="1:8" ht="19.5" customHeight="1">
      <c r="A149" s="34" t="s">
        <v>1157</v>
      </c>
      <c r="B149" s="71" t="s">
        <v>648</v>
      </c>
      <c r="C149" s="13"/>
      <c r="D149" s="85"/>
      <c r="E149" s="44">
        <v>22180</v>
      </c>
      <c r="F149" s="84"/>
      <c r="G149" s="84"/>
      <c r="H149" s="85"/>
    </row>
    <row r="150" spans="1:8" ht="19.5" customHeight="1">
      <c r="A150" s="34" t="s">
        <v>1157</v>
      </c>
      <c r="B150" s="71" t="s">
        <v>611</v>
      </c>
      <c r="D150" s="85"/>
      <c r="E150" s="44">
        <v>10000</v>
      </c>
      <c r="F150" s="84"/>
      <c r="G150" s="84"/>
      <c r="H150" s="43"/>
    </row>
    <row r="151" spans="1:8" ht="19.5" customHeight="1">
      <c r="A151" s="880" t="s">
        <v>639</v>
      </c>
      <c r="B151" s="880"/>
      <c r="C151" s="880"/>
      <c r="D151" s="87"/>
      <c r="E151" s="87">
        <f>SUM(E147:E150)</f>
        <v>288612.15</v>
      </c>
      <c r="F151" s="69" t="s">
        <v>1126</v>
      </c>
      <c r="G151" s="69"/>
      <c r="H151" s="102"/>
    </row>
    <row r="152" spans="1:8" ht="19.5" customHeight="1">
      <c r="A152" s="4"/>
      <c r="B152" s="7"/>
      <c r="C152" s="86" t="s">
        <v>750</v>
      </c>
      <c r="D152" s="44"/>
      <c r="E152" s="43"/>
      <c r="F152" s="36"/>
      <c r="G152" s="36"/>
      <c r="H152" s="44"/>
    </row>
    <row r="153" spans="1:8" ht="19.5" customHeight="1">
      <c r="A153" s="4" t="s">
        <v>1155</v>
      </c>
      <c r="B153" s="7" t="s">
        <v>751</v>
      </c>
      <c r="C153" s="4"/>
      <c r="D153" s="44"/>
      <c r="E153" s="43">
        <v>1316</v>
      </c>
      <c r="F153" s="36"/>
      <c r="G153" s="36"/>
      <c r="H153" s="44"/>
    </row>
    <row r="154" spans="1:8" ht="19.5" customHeight="1">
      <c r="A154" s="880" t="s">
        <v>762</v>
      </c>
      <c r="B154" s="880"/>
      <c r="C154" s="880"/>
      <c r="D154" s="87"/>
      <c r="E154" s="87">
        <f>SUM(E153:E153)</f>
        <v>1316</v>
      </c>
      <c r="F154" s="69" t="s">
        <v>1126</v>
      </c>
      <c r="G154" s="69"/>
      <c r="H154" s="102"/>
    </row>
    <row r="155" spans="1:8" ht="19.5" customHeight="1">
      <c r="A155" s="45"/>
      <c r="B155" s="45"/>
      <c r="C155" s="98" t="s">
        <v>752</v>
      </c>
      <c r="D155" s="100"/>
      <c r="E155" s="100"/>
      <c r="F155" s="5"/>
      <c r="G155" s="5"/>
      <c r="H155" s="44"/>
    </row>
    <row r="156" spans="1:8" ht="19.5" customHeight="1">
      <c r="A156" s="45">
        <v>1</v>
      </c>
      <c r="B156" s="871" t="s">
        <v>753</v>
      </c>
      <c r="C156" s="871"/>
      <c r="D156" s="101"/>
      <c r="E156" s="101">
        <v>35000</v>
      </c>
      <c r="F156" s="6"/>
      <c r="G156" s="6"/>
      <c r="H156" s="67"/>
    </row>
    <row r="157" spans="1:8" ht="19.5" customHeight="1">
      <c r="A157" s="880" t="s">
        <v>763</v>
      </c>
      <c r="B157" s="880"/>
      <c r="C157" s="880"/>
      <c r="D157" s="103"/>
      <c r="E157" s="99">
        <f>SUM(E156:E156)</f>
        <v>35000</v>
      </c>
      <c r="F157" s="69" t="s">
        <v>1126</v>
      </c>
      <c r="G157" s="69"/>
      <c r="H157" s="102"/>
    </row>
    <row r="158" spans="1:8" ht="19.5" customHeight="1">
      <c r="A158" s="45"/>
      <c r="B158" s="45"/>
      <c r="C158" s="45"/>
      <c r="D158" s="96"/>
      <c r="E158" s="96"/>
      <c r="F158" s="77"/>
      <c r="G158" s="77"/>
      <c r="H158" s="71"/>
    </row>
    <row r="159" spans="1:8" ht="19.5" customHeight="1">
      <c r="A159" s="45"/>
      <c r="B159" s="45"/>
      <c r="C159" s="45"/>
      <c r="D159" s="96"/>
      <c r="E159" s="96"/>
      <c r="F159" s="77"/>
      <c r="G159" s="77"/>
      <c r="H159" s="71"/>
    </row>
    <row r="160" spans="1:8" ht="19.5" customHeight="1">
      <c r="A160" s="45"/>
      <c r="B160" s="45"/>
      <c r="C160" s="45"/>
      <c r="D160" s="96"/>
      <c r="E160" s="96"/>
      <c r="F160" s="77"/>
      <c r="G160" s="77"/>
      <c r="H160" s="71"/>
    </row>
    <row r="164" ht="19.5" customHeight="1">
      <c r="A164" s="13"/>
    </row>
    <row r="165" spans="1:8" ht="19.5" customHeight="1">
      <c r="A165" s="877" t="s">
        <v>765</v>
      </c>
      <c r="B165" s="877"/>
      <c r="C165" s="877"/>
      <c r="D165" s="877"/>
      <c r="E165" s="877"/>
      <c r="F165" s="877"/>
      <c r="G165" s="877"/>
      <c r="H165" s="877"/>
    </row>
    <row r="166" spans="1:8" ht="19.5" customHeight="1">
      <c r="A166" s="4"/>
      <c r="B166" s="7"/>
      <c r="C166" s="4"/>
      <c r="D166" s="875" t="s">
        <v>1131</v>
      </c>
      <c r="E166" s="875" t="s">
        <v>1137</v>
      </c>
      <c r="F166" s="47" t="s">
        <v>1133</v>
      </c>
      <c r="G166" s="525"/>
      <c r="H166" s="5" t="s">
        <v>1134</v>
      </c>
    </row>
    <row r="167" spans="1:8" ht="19.5" customHeight="1">
      <c r="A167" s="4"/>
      <c r="B167" s="7"/>
      <c r="C167" s="4"/>
      <c r="D167" s="876"/>
      <c r="E167" s="876"/>
      <c r="F167" s="69" t="s">
        <v>1126</v>
      </c>
      <c r="G167" s="6"/>
      <c r="H167" s="6"/>
    </row>
    <row r="168" spans="1:8" ht="19.5" customHeight="1">
      <c r="A168" s="66"/>
      <c r="B168" s="4"/>
      <c r="C168" s="86" t="s">
        <v>754</v>
      </c>
      <c r="D168" s="57"/>
      <c r="E168" s="62"/>
      <c r="F168" s="35"/>
      <c r="G168" s="35"/>
      <c r="H168" s="76"/>
    </row>
    <row r="169" spans="1:8" ht="19.5" customHeight="1">
      <c r="A169" s="4" t="s">
        <v>1155</v>
      </c>
      <c r="B169" s="4" t="s">
        <v>755</v>
      </c>
      <c r="C169" s="4"/>
      <c r="D169" s="43"/>
      <c r="E169" s="43">
        <f>44553.2</f>
        <v>44553.2</v>
      </c>
      <c r="F169" s="35"/>
      <c r="G169" s="35"/>
      <c r="H169" s="44"/>
    </row>
    <row r="170" spans="1:8" ht="19.5" customHeight="1">
      <c r="A170" s="4" t="s">
        <v>1156</v>
      </c>
      <c r="B170" s="4" t="s">
        <v>756</v>
      </c>
      <c r="C170" s="4"/>
      <c r="D170" s="43"/>
      <c r="E170" s="43">
        <v>37261.15</v>
      </c>
      <c r="F170" s="35"/>
      <c r="G170" s="35"/>
      <c r="H170" s="44"/>
    </row>
    <row r="171" spans="1:8" ht="19.5" customHeight="1">
      <c r="A171" s="4" t="s">
        <v>1157</v>
      </c>
      <c r="B171" s="90" t="s">
        <v>757</v>
      </c>
      <c r="C171" s="90"/>
      <c r="D171" s="43"/>
      <c r="E171" s="43">
        <v>34342.19</v>
      </c>
      <c r="F171" s="35"/>
      <c r="G171" s="35"/>
      <c r="H171" s="44"/>
    </row>
    <row r="172" spans="1:8" ht="19.5" customHeight="1">
      <c r="A172" s="4" t="s">
        <v>1158</v>
      </c>
      <c r="B172" s="4" t="s">
        <v>758</v>
      </c>
      <c r="C172" s="4"/>
      <c r="D172" s="44"/>
      <c r="E172" s="43">
        <v>75701.43</v>
      </c>
      <c r="F172" s="35"/>
      <c r="G172" s="35"/>
      <c r="H172" s="44"/>
    </row>
    <row r="173" spans="1:8" ht="19.5" customHeight="1">
      <c r="A173" s="4" t="s">
        <v>1159</v>
      </c>
      <c r="B173" s="4" t="s">
        <v>759</v>
      </c>
      <c r="C173" s="4"/>
      <c r="D173" s="44"/>
      <c r="E173" s="43">
        <v>42036.02</v>
      </c>
      <c r="F173" s="35"/>
      <c r="G173" s="35"/>
      <c r="H173" s="44"/>
    </row>
    <row r="174" spans="1:8" ht="19.5" customHeight="1">
      <c r="A174" s="4" t="s">
        <v>1161</v>
      </c>
      <c r="B174" s="4" t="s">
        <v>760</v>
      </c>
      <c r="C174" s="4"/>
      <c r="D174" s="44"/>
      <c r="E174" s="43">
        <v>79595.69</v>
      </c>
      <c r="F174" s="35"/>
      <c r="G174" s="35"/>
      <c r="H174" s="44"/>
    </row>
    <row r="175" spans="1:8" ht="19.5" customHeight="1">
      <c r="A175" s="14" t="s">
        <v>1160</v>
      </c>
      <c r="B175" s="4" t="s">
        <v>761</v>
      </c>
      <c r="C175" s="4"/>
      <c r="D175" s="104"/>
      <c r="E175" s="72">
        <v>36733.1</v>
      </c>
      <c r="F175" s="104"/>
      <c r="G175" s="104"/>
      <c r="H175" s="85"/>
    </row>
    <row r="176" spans="1:8" ht="19.5" customHeight="1">
      <c r="A176" s="105"/>
      <c r="B176" s="105"/>
      <c r="C176" s="106" t="s">
        <v>764</v>
      </c>
      <c r="D176" s="107"/>
      <c r="E176" s="108">
        <f>SUM(E169:E175)</f>
        <v>350222.77999999997</v>
      </c>
      <c r="F176" s="109"/>
      <c r="G176" s="109"/>
      <c r="H176" s="109"/>
    </row>
    <row r="177" spans="1:8" ht="19.5" customHeight="1" thickBot="1">
      <c r="A177" s="878" t="s">
        <v>1143</v>
      </c>
      <c r="B177" s="878"/>
      <c r="C177" s="879"/>
      <c r="D177" s="91"/>
      <c r="E177" s="70">
        <f>E103+E115+E145+E151+E154+E157+E176</f>
        <v>5119015.03</v>
      </c>
      <c r="F177" s="97" t="s">
        <v>1126</v>
      </c>
      <c r="G177" s="97"/>
      <c r="H177" s="58"/>
    </row>
    <row r="178" ht="19.5" customHeight="1" thickTop="1"/>
    <row r="179" spans="1:8" ht="19.5" customHeight="1">
      <c r="A179" s="804"/>
      <c r="B179" s="804"/>
      <c r="C179" s="804"/>
      <c r="D179" s="96"/>
      <c r="E179" s="96"/>
      <c r="F179" s="77"/>
      <c r="G179" s="77"/>
      <c r="H179" s="71"/>
    </row>
    <row r="180" spans="1:8" ht="19.5" customHeight="1">
      <c r="A180" s="4"/>
      <c r="B180" s="7"/>
      <c r="C180" s="86"/>
      <c r="D180" s="71"/>
      <c r="E180" s="75"/>
      <c r="F180" s="68"/>
      <c r="G180" s="68"/>
      <c r="H180" s="71"/>
    </row>
    <row r="181" spans="1:8" ht="19.5" customHeight="1">
      <c r="A181" s="4"/>
      <c r="B181" s="7"/>
      <c r="C181" s="4"/>
      <c r="D181" s="71"/>
      <c r="E181" s="75"/>
      <c r="F181" s="68"/>
      <c r="G181" s="68"/>
      <c r="H181" s="71"/>
    </row>
    <row r="182" spans="1:8" ht="19.5" customHeight="1">
      <c r="A182" s="804"/>
      <c r="B182" s="804"/>
      <c r="C182" s="804"/>
      <c r="D182" s="96"/>
      <c r="E182" s="96"/>
      <c r="F182" s="77"/>
      <c r="G182" s="77"/>
      <c r="H182" s="71"/>
    </row>
    <row r="183" spans="1:8" ht="19.5" customHeight="1">
      <c r="A183" s="45"/>
      <c r="B183" s="45"/>
      <c r="C183" s="98"/>
      <c r="D183" s="96"/>
      <c r="E183" s="96"/>
      <c r="F183" s="77"/>
      <c r="G183" s="77"/>
      <c r="H183" s="71"/>
    </row>
    <row r="184" spans="1:8" ht="19.5" customHeight="1">
      <c r="A184" s="45"/>
      <c r="B184" s="871"/>
      <c r="C184" s="871"/>
      <c r="D184" s="96"/>
      <c r="E184" s="96"/>
      <c r="F184" s="77"/>
      <c r="G184" s="77"/>
      <c r="H184" s="71"/>
    </row>
    <row r="185" spans="1:8" ht="19.5" customHeight="1">
      <c r="A185" s="804"/>
      <c r="B185" s="804"/>
      <c r="C185" s="804"/>
      <c r="D185" s="96"/>
      <c r="E185" s="96"/>
      <c r="F185" s="77"/>
      <c r="G185" s="77"/>
      <c r="H185" s="71"/>
    </row>
    <row r="186" spans="1:8" ht="19.5" customHeight="1">
      <c r="A186" s="45"/>
      <c r="B186" s="45"/>
      <c r="C186" s="45"/>
      <c r="D186" s="96"/>
      <c r="E186" s="96"/>
      <c r="F186" s="77"/>
      <c r="G186" s="77"/>
      <c r="H186" s="71"/>
    </row>
    <row r="187" spans="1:8" ht="19.5" customHeight="1">
      <c r="A187" s="45"/>
      <c r="B187" s="45"/>
      <c r="C187" s="45"/>
      <c r="D187" s="96"/>
      <c r="E187" s="96"/>
      <c r="F187" s="77"/>
      <c r="G187" s="77"/>
      <c r="H187" s="71"/>
    </row>
    <row r="188" spans="1:8" ht="19.5" customHeight="1">
      <c r="A188" s="45"/>
      <c r="B188" s="45"/>
      <c r="C188" s="45"/>
      <c r="D188" s="96"/>
      <c r="E188" s="96"/>
      <c r="F188" s="77"/>
      <c r="G188" s="77"/>
      <c r="H188" s="71"/>
    </row>
    <row r="192" ht="19.5" customHeight="1">
      <c r="A192" s="13"/>
    </row>
  </sheetData>
  <sheetProtection/>
  <mergeCells count="35">
    <mergeCell ref="A182:C182"/>
    <mergeCell ref="B184:C184"/>
    <mergeCell ref="A185:C185"/>
    <mergeCell ref="D166:D167"/>
    <mergeCell ref="A83:H83"/>
    <mergeCell ref="E166:E167"/>
    <mergeCell ref="A177:C177"/>
    <mergeCell ref="A179:C179"/>
    <mergeCell ref="A157:C157"/>
    <mergeCell ref="A151:C151"/>
    <mergeCell ref="E84:E85"/>
    <mergeCell ref="A154:C154"/>
    <mergeCell ref="A165:H165"/>
    <mergeCell ref="D84:D85"/>
    <mergeCell ref="B156:C156"/>
    <mergeCell ref="J94:L94"/>
    <mergeCell ref="A102:C102"/>
    <mergeCell ref="A145:C145"/>
    <mergeCell ref="D124:D125"/>
    <mergeCell ref="E124:E125"/>
    <mergeCell ref="A123:H123"/>
    <mergeCell ref="A98:C98"/>
    <mergeCell ref="A115:C115"/>
    <mergeCell ref="A103:C103"/>
    <mergeCell ref="B2:F2"/>
    <mergeCell ref="A6:B6"/>
    <mergeCell ref="A3:F3"/>
    <mergeCell ref="A4:F4"/>
    <mergeCell ref="A47:B47"/>
    <mergeCell ref="A80:C80"/>
    <mergeCell ref="H39:J39"/>
    <mergeCell ref="B43:F43"/>
    <mergeCell ref="A39:C39"/>
    <mergeCell ref="A44:F44"/>
    <mergeCell ref="A45:F45"/>
  </mergeCells>
  <printOptions/>
  <pageMargins left="0.8" right="0.29" top="0.5" bottom="0.33" header="0.26" footer="0.28"/>
  <pageSetup horizontalDpi="180" verticalDpi="18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37"/>
  <sheetViews>
    <sheetView zoomScalePageLayoutView="0" workbookViewId="0" topLeftCell="B7">
      <selection activeCell="M12" sqref="M12"/>
    </sheetView>
  </sheetViews>
  <sheetFormatPr defaultColWidth="9.140625" defaultRowHeight="21.75"/>
  <cols>
    <col min="1" max="1" width="22.57421875" style="0" customWidth="1"/>
    <col min="2" max="2" width="12.421875" style="0" customWidth="1"/>
    <col min="3" max="3" width="13.57421875" style="0" customWidth="1"/>
    <col min="4" max="4" width="11.00390625" style="0" customWidth="1"/>
    <col min="5" max="5" width="10.57421875" style="0" customWidth="1"/>
    <col min="6" max="7" width="10.421875" style="0" customWidth="1"/>
    <col min="8" max="8" width="11.140625" style="0" customWidth="1"/>
    <col min="9" max="9" width="11.421875" style="0" customWidth="1"/>
    <col min="10" max="10" width="11.7109375" style="0" customWidth="1"/>
    <col min="11" max="11" width="9.8515625" style="0" customWidth="1"/>
    <col min="12" max="12" width="10.7109375" style="0" customWidth="1"/>
    <col min="13" max="13" width="11.7109375" style="0" customWidth="1"/>
    <col min="14" max="14" width="20.7109375" style="0" customWidth="1"/>
  </cols>
  <sheetData>
    <row r="1" spans="1:13" ht="18" customHeight="1">
      <c r="A1" s="848">
        <v>1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</row>
    <row r="2" spans="1:13" ht="22.5" customHeight="1">
      <c r="A2" s="882" t="s">
        <v>1153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13" ht="23.25" customHeight="1">
      <c r="A3" s="883" t="s">
        <v>923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</row>
    <row r="4" spans="1:13" ht="27" customHeight="1">
      <c r="A4" s="884" t="s">
        <v>515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</row>
    <row r="5" spans="1:13" ht="21.75">
      <c r="A5" s="181" t="s">
        <v>1163</v>
      </c>
      <c r="B5" s="182" t="s">
        <v>1131</v>
      </c>
      <c r="C5" s="183" t="s">
        <v>1142</v>
      </c>
      <c r="D5" s="182" t="s">
        <v>892</v>
      </c>
      <c r="E5" s="184" t="s">
        <v>893</v>
      </c>
      <c r="F5" s="182" t="s">
        <v>898</v>
      </c>
      <c r="G5" s="184" t="s">
        <v>899</v>
      </c>
      <c r="H5" s="182" t="s">
        <v>900</v>
      </c>
      <c r="I5" s="184" t="s">
        <v>901</v>
      </c>
      <c r="J5" s="182" t="s">
        <v>904</v>
      </c>
      <c r="K5" s="184" t="s">
        <v>905</v>
      </c>
      <c r="L5" s="182" t="s">
        <v>906</v>
      </c>
      <c r="M5" s="181" t="s">
        <v>1138</v>
      </c>
    </row>
    <row r="6" spans="1:13" ht="21.75">
      <c r="A6" s="185"/>
      <c r="B6" s="185"/>
      <c r="C6" s="185"/>
      <c r="D6" s="186" t="s">
        <v>907</v>
      </c>
      <c r="E6" s="187" t="s">
        <v>908</v>
      </c>
      <c r="F6" s="188"/>
      <c r="G6" s="187"/>
      <c r="H6" s="188"/>
      <c r="I6" s="189"/>
      <c r="J6" s="188" t="s">
        <v>909</v>
      </c>
      <c r="K6" s="187" t="s">
        <v>910</v>
      </c>
      <c r="L6" s="188"/>
      <c r="M6" s="185"/>
    </row>
    <row r="7" spans="1:13" ht="26.25" customHeight="1">
      <c r="A7" s="208" t="s">
        <v>911</v>
      </c>
      <c r="B7" s="190"/>
      <c r="C7" s="190"/>
      <c r="D7" s="190"/>
      <c r="E7" s="190"/>
      <c r="F7" s="190"/>
      <c r="G7" s="391"/>
      <c r="H7" s="190"/>
      <c r="I7" s="190"/>
      <c r="J7" s="190"/>
      <c r="K7" s="190"/>
      <c r="L7" s="190"/>
      <c r="M7" s="190"/>
    </row>
    <row r="8" spans="1:14" ht="30" customHeight="1">
      <c r="A8" s="206" t="s">
        <v>1246</v>
      </c>
      <c r="B8" s="536">
        <f>2341840</f>
        <v>2341840</v>
      </c>
      <c r="C8" s="397">
        <f>SUM(D8:M8)</f>
        <v>2324940</v>
      </c>
      <c r="D8" s="403">
        <v>2324940</v>
      </c>
      <c r="E8" s="397"/>
      <c r="F8" s="397"/>
      <c r="G8" s="397"/>
      <c r="H8" s="397"/>
      <c r="I8" s="397"/>
      <c r="J8" s="397"/>
      <c r="K8" s="397"/>
      <c r="L8" s="397"/>
      <c r="M8" s="397"/>
      <c r="N8" s="397"/>
    </row>
    <row r="9" spans="1:14" ht="30" customHeight="1">
      <c r="A9" s="206" t="s">
        <v>1247</v>
      </c>
      <c r="B9" s="536">
        <f>1548000+149000+144000+576000</f>
        <v>2417000</v>
      </c>
      <c r="C9" s="397">
        <f aca="true" t="shared" si="0" ref="C9:C21">SUM(D9:M9)</f>
        <v>2226611</v>
      </c>
      <c r="D9" s="403">
        <f>1442800</f>
        <v>1442800</v>
      </c>
      <c r="E9" s="397"/>
      <c r="F9" s="397">
        <v>140400</v>
      </c>
      <c r="G9" s="397"/>
      <c r="H9" s="397">
        <v>92371</v>
      </c>
      <c r="I9" s="397">
        <v>551040</v>
      </c>
      <c r="J9" s="397"/>
      <c r="K9" s="397"/>
      <c r="L9" s="397"/>
      <c r="M9" s="397"/>
      <c r="N9" s="397"/>
    </row>
    <row r="10" spans="1:14" ht="27.75" customHeight="1">
      <c r="A10" s="207" t="s">
        <v>1167</v>
      </c>
      <c r="B10" s="537">
        <f>127000</f>
        <v>127000</v>
      </c>
      <c r="C10" s="397">
        <f t="shared" si="0"/>
        <v>261060</v>
      </c>
      <c r="D10" s="400">
        <v>124140</v>
      </c>
      <c r="E10" s="398"/>
      <c r="F10" s="398"/>
      <c r="G10" s="399"/>
      <c r="H10" s="399"/>
      <c r="I10" s="399"/>
      <c r="J10" s="398"/>
      <c r="K10" s="398"/>
      <c r="L10" s="399">
        <v>136920</v>
      </c>
      <c r="M10" s="398"/>
      <c r="N10" s="398"/>
    </row>
    <row r="11" spans="1:14" ht="28.5" customHeight="1">
      <c r="A11" s="207" t="s">
        <v>1145</v>
      </c>
      <c r="B11" s="537">
        <f>316500+24500+110000</f>
        <v>451000</v>
      </c>
      <c r="C11" s="397">
        <f t="shared" si="0"/>
        <v>803100</v>
      </c>
      <c r="D11" s="399">
        <f>266580</f>
        <v>266580</v>
      </c>
      <c r="E11" s="399"/>
      <c r="F11" s="399">
        <f>19620+418500</f>
        <v>438120</v>
      </c>
      <c r="G11" s="399"/>
      <c r="H11" s="399"/>
      <c r="I11" s="399">
        <v>98400</v>
      </c>
      <c r="J11" s="398"/>
      <c r="K11" s="398"/>
      <c r="L11" s="398"/>
      <c r="M11" s="398"/>
      <c r="N11" s="398"/>
    </row>
    <row r="12" spans="1:14" ht="24" customHeight="1">
      <c r="A12" s="207" t="s">
        <v>1146</v>
      </c>
      <c r="B12" s="537">
        <f>1260000+60000+25000+10000+55000+135000</f>
        <v>1545000</v>
      </c>
      <c r="C12" s="397">
        <f t="shared" si="0"/>
        <v>1070015.5</v>
      </c>
      <c r="D12" s="400">
        <f>211090.5+772500</f>
        <v>983590.5</v>
      </c>
      <c r="E12" s="399">
        <v>45800</v>
      </c>
      <c r="F12" s="399">
        <v>6600</v>
      </c>
      <c r="G12" s="399"/>
      <c r="H12" s="399"/>
      <c r="I12" s="399">
        <v>28824</v>
      </c>
      <c r="J12" s="398"/>
      <c r="K12" s="398"/>
      <c r="L12" s="399">
        <v>5201</v>
      </c>
      <c r="M12" s="398"/>
      <c r="N12" s="398"/>
    </row>
    <row r="13" spans="1:14" ht="24.75" customHeight="1">
      <c r="A13" s="207" t="s">
        <v>1147</v>
      </c>
      <c r="B13" s="537">
        <f>1745000+225000+557400+30000+80000+835000+244000+655000+145000</f>
        <v>4516400</v>
      </c>
      <c r="C13" s="397">
        <f t="shared" si="0"/>
        <v>2932369.77</v>
      </c>
      <c r="D13" s="399">
        <v>983724.13</v>
      </c>
      <c r="E13" s="400">
        <v>163194</v>
      </c>
      <c r="F13" s="399">
        <f>406658+16800+7800</f>
        <v>431258</v>
      </c>
      <c r="G13" s="399"/>
      <c r="H13" s="399">
        <f>53104+18392</f>
        <v>71496</v>
      </c>
      <c r="I13" s="397">
        <v>588527.95</v>
      </c>
      <c r="J13" s="399">
        <v>145300.69</v>
      </c>
      <c r="K13" s="399">
        <v>534294</v>
      </c>
      <c r="L13" s="399">
        <v>14575</v>
      </c>
      <c r="M13" s="398"/>
      <c r="N13" s="398"/>
    </row>
    <row r="14" spans="1:14" ht="23.25" customHeight="1">
      <c r="A14" s="207" t="s">
        <v>1148</v>
      </c>
      <c r="B14" s="537">
        <f>420000+165000+1147040+100000+740000</f>
        <v>2572040</v>
      </c>
      <c r="C14" s="397">
        <f t="shared" si="0"/>
        <v>2147831.4</v>
      </c>
      <c r="D14" s="400">
        <v>351472.7</v>
      </c>
      <c r="E14" s="399">
        <v>129649</v>
      </c>
      <c r="F14" s="399">
        <f>1054765.8+18000</f>
        <v>1072765.8</v>
      </c>
      <c r="G14" s="399">
        <v>52600</v>
      </c>
      <c r="H14" s="399"/>
      <c r="I14" s="399">
        <f>317343.9+224000</f>
        <v>541343.9</v>
      </c>
      <c r="J14" s="399"/>
      <c r="K14" s="399"/>
      <c r="L14" s="398"/>
      <c r="M14" s="398"/>
      <c r="N14" s="398"/>
    </row>
    <row r="15" spans="1:14" ht="27" customHeight="1">
      <c r="A15" s="207" t="s">
        <v>1149</v>
      </c>
      <c r="B15" s="537">
        <f>225000+5000+70000</f>
        <v>300000</v>
      </c>
      <c r="C15" s="397">
        <f t="shared" si="0"/>
        <v>183012.19</v>
      </c>
      <c r="D15" s="400">
        <v>160970.63</v>
      </c>
      <c r="E15" s="399"/>
      <c r="F15" s="399"/>
      <c r="G15" s="399"/>
      <c r="H15" s="399"/>
      <c r="I15" s="399"/>
      <c r="J15" s="399"/>
      <c r="K15" s="399"/>
      <c r="L15" s="399">
        <v>22041.56</v>
      </c>
      <c r="M15" s="398"/>
      <c r="N15" s="398"/>
    </row>
    <row r="16" spans="1:14" ht="21" customHeight="1">
      <c r="A16" s="207" t="s">
        <v>1152</v>
      </c>
      <c r="B16" s="537">
        <f>1210160+120000+90000</f>
        <v>1420160</v>
      </c>
      <c r="C16" s="397">
        <f t="shared" si="0"/>
        <v>1412660</v>
      </c>
      <c r="D16" s="399"/>
      <c r="E16" s="399"/>
      <c r="F16" s="399">
        <v>1210160</v>
      </c>
      <c r="G16" s="399">
        <v>120000</v>
      </c>
      <c r="H16" s="399"/>
      <c r="I16" s="399"/>
      <c r="J16" s="399"/>
      <c r="K16" s="399">
        <v>82500</v>
      </c>
      <c r="L16" s="399"/>
      <c r="M16" s="399"/>
      <c r="N16" s="399"/>
    </row>
    <row r="17" spans="1:14" ht="27" customHeight="1">
      <c r="A17" s="207" t="s">
        <v>181</v>
      </c>
      <c r="B17" s="537">
        <v>30000</v>
      </c>
      <c r="C17" s="397">
        <f t="shared" si="0"/>
        <v>25000</v>
      </c>
      <c r="D17" s="399">
        <v>25000</v>
      </c>
      <c r="E17" s="399"/>
      <c r="F17" s="399"/>
      <c r="G17" s="533"/>
      <c r="H17" s="399"/>
      <c r="I17" s="399"/>
      <c r="J17" s="399"/>
      <c r="K17" s="399"/>
      <c r="L17" s="399"/>
      <c r="M17" s="399"/>
      <c r="N17" s="399"/>
    </row>
    <row r="18" spans="1:14" ht="21.75" customHeight="1">
      <c r="A18" s="207" t="s">
        <v>1138</v>
      </c>
      <c r="B18" s="537">
        <v>2474960</v>
      </c>
      <c r="C18" s="397">
        <f t="shared" si="0"/>
        <v>10454295</v>
      </c>
      <c r="D18" s="398"/>
      <c r="E18" s="399"/>
      <c r="F18" s="399"/>
      <c r="G18" s="399"/>
      <c r="H18" s="399"/>
      <c r="I18" s="399"/>
      <c r="J18" s="399"/>
      <c r="K18" s="399"/>
      <c r="L18" s="399"/>
      <c r="M18" s="399">
        <f>2124400+8203425+126470</f>
        <v>10454295</v>
      </c>
      <c r="N18" s="399">
        <v>2124400</v>
      </c>
    </row>
    <row r="19" spans="1:14" ht="24" customHeight="1">
      <c r="A19" s="207" t="s">
        <v>912</v>
      </c>
      <c r="B19" s="537">
        <f>263600</f>
        <v>263600</v>
      </c>
      <c r="C19" s="397">
        <f t="shared" si="0"/>
        <v>103600</v>
      </c>
      <c r="D19" s="399">
        <v>103600</v>
      </c>
      <c r="E19" s="534"/>
      <c r="F19" s="399"/>
      <c r="G19" s="399"/>
      <c r="H19" s="399"/>
      <c r="I19" s="399"/>
      <c r="J19" s="399"/>
      <c r="K19" s="399"/>
      <c r="L19" s="399"/>
      <c r="M19" s="399"/>
      <c r="N19" s="399"/>
    </row>
    <row r="20" spans="1:14" ht="32.25" customHeight="1">
      <c r="A20" s="411" t="s">
        <v>913</v>
      </c>
      <c r="B20" s="537">
        <f>840000+504000+197000</f>
        <v>1541000</v>
      </c>
      <c r="C20" s="404">
        <f t="shared" si="0"/>
        <v>1399500</v>
      </c>
      <c r="D20" s="404">
        <v>704000</v>
      </c>
      <c r="E20" s="399"/>
      <c r="F20" s="399"/>
      <c r="G20" s="399"/>
      <c r="H20" s="399"/>
      <c r="I20" s="399">
        <v>501500</v>
      </c>
      <c r="J20" s="399"/>
      <c r="K20" s="399"/>
      <c r="L20" s="399">
        <v>194000</v>
      </c>
      <c r="M20" s="399"/>
      <c r="N20" s="399"/>
    </row>
    <row r="21" spans="1:13" ht="22.5" thickBot="1">
      <c r="A21" s="209" t="s">
        <v>914</v>
      </c>
      <c r="B21" s="742">
        <f>SUM(B7:B20)</f>
        <v>20000000</v>
      </c>
      <c r="C21" s="535">
        <f t="shared" si="0"/>
        <v>25343994.86</v>
      </c>
      <c r="D21" s="402">
        <f>SUM(D8:D20)</f>
        <v>7470817.96</v>
      </c>
      <c r="E21" s="402">
        <f aca="true" t="shared" si="1" ref="E21:M21">SUM(E8:E20)</f>
        <v>338643</v>
      </c>
      <c r="F21" s="402">
        <f t="shared" si="1"/>
        <v>3299303.8</v>
      </c>
      <c r="G21" s="402">
        <f t="shared" si="1"/>
        <v>172600</v>
      </c>
      <c r="H21" s="402">
        <f t="shared" si="1"/>
        <v>163867</v>
      </c>
      <c r="I21" s="402">
        <f t="shared" si="1"/>
        <v>2309635.85</v>
      </c>
      <c r="J21" s="402">
        <f t="shared" si="1"/>
        <v>145300.69</v>
      </c>
      <c r="K21" s="402">
        <f t="shared" si="1"/>
        <v>616794</v>
      </c>
      <c r="L21" s="402">
        <f t="shared" si="1"/>
        <v>372737.56</v>
      </c>
      <c r="M21" s="402">
        <f t="shared" si="1"/>
        <v>10454295</v>
      </c>
    </row>
    <row r="22" spans="1:13" ht="22.5" thickTop="1">
      <c r="A22" s="212"/>
      <c r="B22" s="463"/>
      <c r="C22" s="490"/>
      <c r="D22" s="464"/>
      <c r="E22" s="464"/>
      <c r="F22" s="464"/>
      <c r="G22" s="464"/>
      <c r="H22" s="464"/>
      <c r="I22" s="464"/>
      <c r="J22" s="464"/>
      <c r="K22" s="464"/>
      <c r="L22" s="464"/>
      <c r="M22" s="464"/>
    </row>
    <row r="23" spans="1:13" ht="21.75">
      <c r="A23" s="848">
        <v>2</v>
      </c>
      <c r="B23" s="848"/>
      <c r="C23" s="848"/>
      <c r="D23" s="848"/>
      <c r="E23" s="848"/>
      <c r="F23" s="848"/>
      <c r="G23" s="848"/>
      <c r="H23" s="848"/>
      <c r="I23" s="848"/>
      <c r="J23" s="848"/>
      <c r="K23" s="848"/>
      <c r="L23" s="848"/>
      <c r="M23" s="848"/>
    </row>
    <row r="24" spans="1:13" ht="21.75">
      <c r="A24" s="407"/>
      <c r="B24" s="408"/>
      <c r="C24" s="409"/>
      <c r="D24" s="410"/>
      <c r="E24" s="410"/>
      <c r="F24" s="410"/>
      <c r="G24" s="410"/>
      <c r="H24" s="410"/>
      <c r="I24" s="410"/>
      <c r="J24" s="410"/>
      <c r="K24" s="410"/>
      <c r="L24" s="410"/>
      <c r="M24" s="410"/>
    </row>
    <row r="25" spans="1:13" ht="21.75">
      <c r="A25" s="539" t="s">
        <v>204</v>
      </c>
      <c r="B25" s="223"/>
      <c r="C25" s="223"/>
      <c r="D25" s="223"/>
      <c r="E25" s="223"/>
      <c r="F25" s="223"/>
      <c r="G25" s="406"/>
      <c r="H25" s="406"/>
      <c r="I25" s="406"/>
      <c r="J25" s="223"/>
      <c r="K25" s="223"/>
      <c r="L25" s="223"/>
      <c r="M25" s="223"/>
    </row>
    <row r="26" spans="1:13" ht="21.75">
      <c r="A26" s="207" t="s">
        <v>205</v>
      </c>
      <c r="B26" s="235">
        <v>435000</v>
      </c>
      <c r="C26" s="192">
        <v>573838.04</v>
      </c>
      <c r="D26" s="191"/>
      <c r="E26" s="191"/>
      <c r="F26" s="191"/>
      <c r="G26" s="224"/>
      <c r="H26" s="191"/>
      <c r="I26" s="191"/>
      <c r="J26" s="191"/>
      <c r="K26" s="191"/>
      <c r="L26" s="191"/>
      <c r="M26" s="191"/>
    </row>
    <row r="27" spans="1:13" ht="21.75">
      <c r="A27" s="207" t="s">
        <v>915</v>
      </c>
      <c r="B27" s="235">
        <v>84500</v>
      </c>
      <c r="C27" s="192">
        <v>120190.87</v>
      </c>
      <c r="D27" s="193"/>
      <c r="E27" s="193"/>
      <c r="F27" s="394"/>
      <c r="G27" s="193"/>
      <c r="H27" s="395"/>
      <c r="I27" s="193"/>
      <c r="J27" s="193"/>
      <c r="K27" s="193"/>
      <c r="L27" s="193"/>
      <c r="M27" s="193"/>
    </row>
    <row r="28" spans="1:13" ht="21.75">
      <c r="A28" s="207" t="s">
        <v>1170</v>
      </c>
      <c r="B28" s="235">
        <v>50000</v>
      </c>
      <c r="C28" s="192">
        <v>104786.7</v>
      </c>
      <c r="D28" s="193"/>
      <c r="E28" s="193"/>
      <c r="F28" s="394"/>
      <c r="G28" s="193"/>
      <c r="H28" s="395"/>
      <c r="I28" s="193"/>
      <c r="J28" s="193"/>
      <c r="K28" s="193"/>
      <c r="L28" s="193"/>
      <c r="M28" s="193"/>
    </row>
    <row r="29" spans="1:13" ht="21.75">
      <c r="A29" s="207" t="s">
        <v>916</v>
      </c>
      <c r="B29" s="235">
        <v>0</v>
      </c>
      <c r="C29" s="192">
        <v>46488</v>
      </c>
      <c r="D29" s="193"/>
      <c r="E29" s="193"/>
      <c r="F29" s="193"/>
      <c r="G29" s="396"/>
      <c r="H29" s="193"/>
      <c r="I29" s="193"/>
      <c r="J29" s="193"/>
      <c r="K29" s="193"/>
      <c r="L29" s="193"/>
      <c r="M29" s="193"/>
    </row>
    <row r="30" spans="1:13" ht="21.75">
      <c r="A30" s="207" t="s">
        <v>207</v>
      </c>
      <c r="B30" s="235">
        <v>166000</v>
      </c>
      <c r="C30" s="192">
        <v>84550</v>
      </c>
      <c r="D30" s="193"/>
      <c r="E30" s="193"/>
      <c r="F30" s="193"/>
      <c r="G30" s="193"/>
      <c r="H30" s="191"/>
      <c r="I30" s="193"/>
      <c r="J30" s="193"/>
      <c r="K30" s="193"/>
      <c r="L30" s="193"/>
      <c r="M30" s="193"/>
    </row>
    <row r="31" spans="1:13" ht="21.75">
      <c r="A31" s="207" t="s">
        <v>917</v>
      </c>
      <c r="B31" s="235">
        <v>0</v>
      </c>
      <c r="C31" s="194">
        <v>0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3" ht="21.75">
      <c r="A32" s="207" t="s">
        <v>918</v>
      </c>
      <c r="B32" s="236">
        <v>11911500</v>
      </c>
      <c r="C32" s="194">
        <v>14483349.05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  <row r="33" spans="1:13" ht="21.75">
      <c r="A33" s="207" t="s">
        <v>919</v>
      </c>
      <c r="B33" s="235">
        <v>7353000</v>
      </c>
      <c r="C33" s="192">
        <v>7608859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13" ht="21.75">
      <c r="A34" s="207" t="s">
        <v>920</v>
      </c>
      <c r="B34" s="236" t="s">
        <v>1126</v>
      </c>
      <c r="C34" s="194" t="s">
        <v>1126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1:13" ht="24" customHeight="1">
      <c r="A35" s="210" t="s">
        <v>441</v>
      </c>
      <c r="B35" s="237"/>
      <c r="C35" s="195">
        <v>8800438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1:13" ht="22.5" thickBot="1">
      <c r="A36" s="211" t="s">
        <v>921</v>
      </c>
      <c r="B36" s="238">
        <f>SUM(B26:B35)</f>
        <v>20000000</v>
      </c>
      <c r="C36" s="197">
        <f>SUM(C26:C35)</f>
        <v>31822499.66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</row>
    <row r="37" spans="1:13" ht="27.75" customHeight="1" thickBot="1" thickTop="1">
      <c r="A37" s="538" t="s">
        <v>922</v>
      </c>
      <c r="B37" s="199"/>
      <c r="C37" s="200">
        <f>SUM(C36-C21)</f>
        <v>6478504.800000001</v>
      </c>
      <c r="D37" s="201"/>
      <c r="E37" s="201"/>
      <c r="F37" s="201"/>
      <c r="G37" s="393"/>
      <c r="H37" s="201"/>
      <c r="I37" s="201"/>
      <c r="J37" s="201"/>
      <c r="K37" s="201"/>
      <c r="L37" s="201"/>
      <c r="M37" s="201"/>
    </row>
    <row r="38" spans="1:13" ht="22.5" thickTop="1">
      <c r="A38" s="213"/>
      <c r="B38" s="199"/>
      <c r="C38" s="203"/>
      <c r="D38" s="201"/>
      <c r="E38" s="202"/>
      <c r="F38" s="202"/>
      <c r="G38" s="201"/>
      <c r="H38" s="201"/>
      <c r="I38" s="201"/>
      <c r="J38" s="201"/>
      <c r="K38" s="201"/>
      <c r="L38" s="201"/>
      <c r="M38" s="201"/>
    </row>
    <row r="39" spans="1:13" ht="21.75">
      <c r="A39" s="213"/>
      <c r="B39" s="199"/>
      <c r="C39" s="203"/>
      <c r="D39" s="201"/>
      <c r="E39" s="202"/>
      <c r="F39" s="202"/>
      <c r="G39" s="201"/>
      <c r="H39" s="201"/>
      <c r="I39" s="201"/>
      <c r="J39" s="201"/>
      <c r="K39" s="201"/>
      <c r="L39" s="201"/>
      <c r="M39" s="201"/>
    </row>
    <row r="40" spans="1:6" ht="22.5">
      <c r="A40" s="213"/>
      <c r="B40" s="138"/>
      <c r="C40" s="136" t="s">
        <v>391</v>
      </c>
      <c r="D40" s="138"/>
      <c r="E40" s="143"/>
      <c r="F40" s="277"/>
    </row>
    <row r="41" spans="1:6" ht="22.5">
      <c r="A41" s="213"/>
      <c r="B41" s="138"/>
      <c r="C41" s="136" t="s">
        <v>392</v>
      </c>
      <c r="D41" s="138"/>
      <c r="E41" s="244"/>
      <c r="F41" s="3"/>
    </row>
    <row r="42" ht="21.75">
      <c r="A42" s="213"/>
    </row>
    <row r="43" spans="1:13" ht="21.75">
      <c r="A43" s="213"/>
      <c r="B43" s="199"/>
      <c r="C43" s="203"/>
      <c r="D43" s="201"/>
      <c r="E43" s="202"/>
      <c r="F43" s="202"/>
      <c r="G43" s="201"/>
      <c r="H43" s="201"/>
      <c r="I43" s="201"/>
      <c r="J43" s="201"/>
      <c r="K43" s="201"/>
      <c r="L43" s="201"/>
      <c r="M43" s="201"/>
    </row>
    <row r="44" spans="1:13" ht="21.75">
      <c r="A44" s="213"/>
      <c r="B44" s="199"/>
      <c r="C44" s="203"/>
      <c r="D44" s="201"/>
      <c r="E44" s="202"/>
      <c r="F44" s="202"/>
      <c r="G44" s="201"/>
      <c r="H44" s="201"/>
      <c r="I44" s="201"/>
      <c r="J44" s="201"/>
      <c r="K44" s="201"/>
      <c r="L44" s="201"/>
      <c r="M44" s="201"/>
    </row>
    <row r="45" spans="1:13" ht="21.75">
      <c r="A45" s="213"/>
      <c r="B45" s="199"/>
      <c r="C45" s="203"/>
      <c r="D45" s="201"/>
      <c r="E45" s="202"/>
      <c r="F45" s="202"/>
      <c r="G45" s="201"/>
      <c r="H45" s="201"/>
      <c r="I45" s="201"/>
      <c r="J45" s="201"/>
      <c r="K45" s="201"/>
      <c r="L45" s="201"/>
      <c r="M45" s="201"/>
    </row>
    <row r="46" spans="1:26" ht="21.75">
      <c r="A46" s="885">
        <v>1</v>
      </c>
      <c r="B46" s="885"/>
      <c r="C46" s="885"/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465"/>
      <c r="O46" s="466"/>
      <c r="P46" s="466"/>
      <c r="Q46" s="466"/>
      <c r="R46" s="466"/>
      <c r="S46" s="466"/>
      <c r="T46" s="467"/>
      <c r="U46" s="466"/>
      <c r="V46" s="466"/>
      <c r="W46" s="466"/>
      <c r="X46" s="466"/>
      <c r="Y46" s="466"/>
      <c r="Z46" s="466"/>
    </row>
    <row r="47" spans="1:26" ht="21.75">
      <c r="A47" s="182" t="s">
        <v>1163</v>
      </c>
      <c r="B47" s="182" t="s">
        <v>1131</v>
      </c>
      <c r="C47" s="183" t="s">
        <v>1142</v>
      </c>
      <c r="D47" s="182" t="s">
        <v>892</v>
      </c>
      <c r="E47" s="184" t="s">
        <v>893</v>
      </c>
      <c r="F47" s="182" t="s">
        <v>898</v>
      </c>
      <c r="G47" s="184" t="s">
        <v>899</v>
      </c>
      <c r="H47" s="182" t="s">
        <v>900</v>
      </c>
      <c r="I47" s="184" t="s">
        <v>901</v>
      </c>
      <c r="J47" s="182" t="s">
        <v>904</v>
      </c>
      <c r="K47" s="184" t="s">
        <v>905</v>
      </c>
      <c r="L47" s="182" t="s">
        <v>906</v>
      </c>
      <c r="M47" s="182" t="s">
        <v>1138</v>
      </c>
      <c r="N47" s="468"/>
      <c r="O47" s="469"/>
      <c r="P47" s="175"/>
      <c r="Q47" s="470"/>
      <c r="R47" s="471"/>
      <c r="S47" s="471"/>
      <c r="T47" s="471"/>
      <c r="U47" s="471"/>
      <c r="V47" s="471"/>
      <c r="W47" s="471"/>
      <c r="X47" s="471"/>
      <c r="Y47" s="471"/>
      <c r="Z47" s="471"/>
    </row>
    <row r="48" spans="1:26" ht="21.75">
      <c r="A48" s="185"/>
      <c r="B48" s="185"/>
      <c r="C48" s="185"/>
      <c r="D48" s="186" t="s">
        <v>907</v>
      </c>
      <c r="E48" s="187" t="s">
        <v>908</v>
      </c>
      <c r="F48" s="188"/>
      <c r="G48" s="187"/>
      <c r="H48" s="188"/>
      <c r="I48" s="189"/>
      <c r="J48" s="188" t="s">
        <v>909</v>
      </c>
      <c r="K48" s="187" t="s">
        <v>910</v>
      </c>
      <c r="L48" s="188"/>
      <c r="M48" s="185"/>
      <c r="N48" s="468"/>
      <c r="O48" s="469"/>
      <c r="P48" s="175"/>
      <c r="Q48" s="471"/>
      <c r="R48" s="471"/>
      <c r="S48" s="471"/>
      <c r="T48" s="471"/>
      <c r="U48" s="471"/>
      <c r="V48" s="471"/>
      <c r="W48" s="471"/>
      <c r="X48" s="471"/>
      <c r="Y48" s="471"/>
      <c r="Z48" s="471"/>
    </row>
    <row r="49" spans="1:26" ht="21.75">
      <c r="A49" s="208" t="s">
        <v>911</v>
      </c>
      <c r="B49" s="190"/>
      <c r="C49" s="190"/>
      <c r="D49" s="190"/>
      <c r="E49" s="190"/>
      <c r="F49" s="190"/>
      <c r="G49" s="391"/>
      <c r="H49" s="190"/>
      <c r="I49" s="190"/>
      <c r="J49" s="190"/>
      <c r="K49" s="190"/>
      <c r="L49" s="190"/>
      <c r="M49" s="190"/>
      <c r="N49" s="468"/>
      <c r="O49" s="469"/>
      <c r="P49" s="175"/>
      <c r="Q49" s="470"/>
      <c r="R49" s="472"/>
      <c r="S49" s="472"/>
      <c r="T49" s="471"/>
      <c r="U49" s="471"/>
      <c r="V49" s="471"/>
      <c r="W49" s="472"/>
      <c r="X49" s="472"/>
      <c r="Y49" s="472"/>
      <c r="Z49" s="472"/>
    </row>
    <row r="50" spans="1:26" ht="21.75">
      <c r="A50" s="206" t="s">
        <v>1246</v>
      </c>
      <c r="B50" s="536">
        <f>2341840</f>
        <v>2341840</v>
      </c>
      <c r="C50" s="397">
        <f>SUM(D50:M50)</f>
        <v>2324940</v>
      </c>
      <c r="D50" s="403">
        <v>2324940</v>
      </c>
      <c r="E50" s="397"/>
      <c r="F50" s="397"/>
      <c r="G50" s="397"/>
      <c r="H50" s="397"/>
      <c r="I50" s="397"/>
      <c r="J50" s="397"/>
      <c r="K50" s="397"/>
      <c r="L50" s="397"/>
      <c r="M50" s="397"/>
      <c r="N50" s="468"/>
      <c r="O50" s="469"/>
      <c r="P50" s="175"/>
      <c r="Q50" s="471"/>
      <c r="R50" s="471"/>
      <c r="S50" s="471"/>
      <c r="T50" s="471"/>
      <c r="U50" s="471"/>
      <c r="V50" s="471"/>
      <c r="W50" s="472"/>
      <c r="X50" s="472"/>
      <c r="Y50" s="472"/>
      <c r="Z50" s="472"/>
    </row>
    <row r="51" spans="1:26" ht="21.75">
      <c r="A51" s="206" t="s">
        <v>1247</v>
      </c>
      <c r="B51" s="536">
        <f>1548000+149000+144000+576000</f>
        <v>2417000</v>
      </c>
      <c r="C51" s="397">
        <f aca="true" t="shared" si="2" ref="C51:C63">SUM(D51:M51)</f>
        <v>2219981</v>
      </c>
      <c r="D51" s="403">
        <f>1442800-6630</f>
        <v>1436170</v>
      </c>
      <c r="E51" s="397"/>
      <c r="F51" s="397">
        <v>140400</v>
      </c>
      <c r="G51" s="397"/>
      <c r="H51" s="397">
        <v>92371</v>
      </c>
      <c r="I51" s="397">
        <v>551040</v>
      </c>
      <c r="J51" s="397"/>
      <c r="K51" s="397"/>
      <c r="L51" s="397"/>
      <c r="M51" s="397"/>
      <c r="N51" s="468"/>
      <c r="O51" s="469"/>
      <c r="P51" s="175"/>
      <c r="Q51" s="470"/>
      <c r="R51" s="471"/>
      <c r="S51" s="471"/>
      <c r="T51" s="471"/>
      <c r="U51" s="471"/>
      <c r="V51" s="471"/>
      <c r="W51" s="472"/>
      <c r="X51" s="472"/>
      <c r="Y51" s="472"/>
      <c r="Z51" s="472"/>
    </row>
    <row r="52" spans="1:26" ht="21.75">
      <c r="A52" s="207" t="s">
        <v>1167</v>
      </c>
      <c r="B52" s="537">
        <f>127000</f>
        <v>127000</v>
      </c>
      <c r="C52" s="397">
        <f t="shared" si="2"/>
        <v>261060</v>
      </c>
      <c r="D52" s="400">
        <v>124140</v>
      </c>
      <c r="E52" s="398"/>
      <c r="F52" s="398"/>
      <c r="G52" s="399"/>
      <c r="H52" s="399"/>
      <c r="I52" s="399"/>
      <c r="J52" s="398"/>
      <c r="K52" s="398"/>
      <c r="L52" s="398">
        <f>136920</f>
        <v>136920</v>
      </c>
      <c r="M52" s="398"/>
      <c r="N52" s="468"/>
      <c r="O52" s="469"/>
      <c r="P52" s="175"/>
      <c r="Q52" s="471"/>
      <c r="R52" s="470"/>
      <c r="S52" s="471"/>
      <c r="T52" s="471"/>
      <c r="U52" s="471"/>
      <c r="V52" s="471"/>
      <c r="W52" s="471"/>
      <c r="X52" s="471"/>
      <c r="Y52" s="473"/>
      <c r="Z52" s="472"/>
    </row>
    <row r="53" spans="1:26" ht="26.25" customHeight="1">
      <c r="A53" s="207" t="s">
        <v>1145</v>
      </c>
      <c r="B53" s="537">
        <f>316500+24500+110000</f>
        <v>451000</v>
      </c>
      <c r="C53" s="397">
        <f t="shared" si="2"/>
        <v>809730</v>
      </c>
      <c r="D53" s="399">
        <f>266580+6630</f>
        <v>273210</v>
      </c>
      <c r="E53" s="399"/>
      <c r="F53" s="399">
        <f>19620+418500</f>
        <v>438120</v>
      </c>
      <c r="G53" s="399"/>
      <c r="H53" s="399"/>
      <c r="I53" s="399">
        <v>98400</v>
      </c>
      <c r="J53" s="398"/>
      <c r="K53" s="398"/>
      <c r="L53" s="398"/>
      <c r="M53" s="398"/>
      <c r="N53" s="468"/>
      <c r="O53" s="469"/>
      <c r="P53" s="175"/>
      <c r="Q53" s="470"/>
      <c r="R53" s="471"/>
      <c r="S53" s="471"/>
      <c r="T53" s="471"/>
      <c r="U53" s="471"/>
      <c r="V53" s="471"/>
      <c r="W53" s="471"/>
      <c r="X53" s="471"/>
      <c r="Y53" s="472"/>
      <c r="Z53" s="472"/>
    </row>
    <row r="54" spans="1:26" ht="21.75">
      <c r="A54" s="207" t="s">
        <v>1146</v>
      </c>
      <c r="B54" s="537">
        <f>1260000+60000+25000+10000+55000+135000</f>
        <v>1545000</v>
      </c>
      <c r="C54" s="397">
        <f t="shared" si="2"/>
        <v>1070015.5</v>
      </c>
      <c r="D54" s="400">
        <f>211090.5+772500</f>
        <v>983590.5</v>
      </c>
      <c r="E54" s="399">
        <v>45800</v>
      </c>
      <c r="F54" s="399">
        <v>6600</v>
      </c>
      <c r="G54" s="399"/>
      <c r="H54" s="399"/>
      <c r="I54" s="399">
        <v>28824</v>
      </c>
      <c r="J54" s="398"/>
      <c r="K54" s="398"/>
      <c r="L54" s="399">
        <v>5201</v>
      </c>
      <c r="M54" s="398"/>
      <c r="N54" s="468"/>
      <c r="O54" s="469"/>
      <c r="P54" s="175"/>
      <c r="Q54" s="470"/>
      <c r="R54" s="471"/>
      <c r="S54" s="471"/>
      <c r="T54" s="471"/>
      <c r="U54" s="471"/>
      <c r="V54" s="471"/>
      <c r="W54" s="471"/>
      <c r="X54" s="471"/>
      <c r="Y54" s="471"/>
      <c r="Z54" s="472"/>
    </row>
    <row r="55" spans="1:26" ht="21.75">
      <c r="A55" s="207" t="s">
        <v>1147</v>
      </c>
      <c r="B55" s="537">
        <f>1745000+225000+557400+30000+80000+835000+244000+655000+145000</f>
        <v>4516400</v>
      </c>
      <c r="C55" s="397">
        <f t="shared" si="2"/>
        <v>2932369.77</v>
      </c>
      <c r="D55" s="399">
        <v>983724.13</v>
      </c>
      <c r="E55" s="400">
        <v>163194</v>
      </c>
      <c r="F55" s="399">
        <f>406658+16800+7800</f>
        <v>431258</v>
      </c>
      <c r="G55" s="399"/>
      <c r="H55" s="399">
        <f>53104+18392</f>
        <v>71496</v>
      </c>
      <c r="I55" s="397">
        <v>588527.95</v>
      </c>
      <c r="J55" s="399">
        <v>145300.69</v>
      </c>
      <c r="K55" s="399">
        <v>534294</v>
      </c>
      <c r="L55" s="399">
        <v>14575</v>
      </c>
      <c r="M55" s="398"/>
      <c r="N55" s="468"/>
      <c r="O55" s="469"/>
      <c r="P55" s="175"/>
      <c r="Q55" s="471"/>
      <c r="R55" s="471"/>
      <c r="S55" s="471"/>
      <c r="T55" s="471"/>
      <c r="U55" s="471"/>
      <c r="V55" s="471"/>
      <c r="W55" s="471"/>
      <c r="X55" s="471"/>
      <c r="Y55" s="471"/>
      <c r="Z55" s="471"/>
    </row>
    <row r="56" spans="1:26" ht="21.75">
      <c r="A56" s="207" t="s">
        <v>1148</v>
      </c>
      <c r="B56" s="537">
        <f>420000+165000+1147040+100000+740000</f>
        <v>2572040</v>
      </c>
      <c r="C56" s="397">
        <f t="shared" si="2"/>
        <v>2147831.4</v>
      </c>
      <c r="D56" s="400">
        <v>351472.7</v>
      </c>
      <c r="E56" s="399">
        <v>129649</v>
      </c>
      <c r="F56" s="399">
        <f>1054765.8+18000</f>
        <v>1072765.8</v>
      </c>
      <c r="G56" s="399">
        <v>52600</v>
      </c>
      <c r="H56" s="399"/>
      <c r="I56" s="399">
        <f>317343.9+224000</f>
        <v>541343.9</v>
      </c>
      <c r="J56" s="399"/>
      <c r="K56" s="399"/>
      <c r="L56" s="398"/>
      <c r="M56" s="398"/>
      <c r="N56" s="468"/>
      <c r="O56" s="469"/>
      <c r="P56" s="175"/>
      <c r="Q56" s="471"/>
      <c r="R56" s="471"/>
      <c r="S56" s="471"/>
      <c r="T56" s="471"/>
      <c r="U56" s="471"/>
      <c r="V56" s="471"/>
      <c r="W56" s="471"/>
      <c r="X56" s="471"/>
      <c r="Y56" s="471"/>
      <c r="Z56" s="471"/>
    </row>
    <row r="57" spans="1:26" ht="21.75">
      <c r="A57" s="207" t="s">
        <v>1149</v>
      </c>
      <c r="B57" s="537">
        <f>225000+5000+70000</f>
        <v>300000</v>
      </c>
      <c r="C57" s="397">
        <f t="shared" si="2"/>
        <v>183012.19</v>
      </c>
      <c r="D57" s="400">
        <v>160970.63</v>
      </c>
      <c r="E57" s="399"/>
      <c r="F57" s="399"/>
      <c r="G57" s="399"/>
      <c r="H57" s="399"/>
      <c r="I57" s="399"/>
      <c r="J57" s="399"/>
      <c r="K57" s="399"/>
      <c r="L57" s="399">
        <v>22041.56</v>
      </c>
      <c r="M57" s="398"/>
      <c r="N57" s="468"/>
      <c r="O57" s="469"/>
      <c r="P57" s="175"/>
      <c r="Q57" s="472"/>
      <c r="R57" s="471"/>
      <c r="S57" s="471"/>
      <c r="T57" s="471"/>
      <c r="U57" s="471"/>
      <c r="V57" s="471"/>
      <c r="W57" s="471"/>
      <c r="X57" s="471"/>
      <c r="Y57" s="471"/>
      <c r="Z57" s="471"/>
    </row>
    <row r="58" spans="1:26" ht="21.75">
      <c r="A58" s="207" t="s">
        <v>1152</v>
      </c>
      <c r="B58" s="537">
        <f>1210160+120000+90000</f>
        <v>1420160</v>
      </c>
      <c r="C58" s="397">
        <f t="shared" si="2"/>
        <v>1412660</v>
      </c>
      <c r="D58" s="399"/>
      <c r="E58" s="399"/>
      <c r="F58" s="399">
        <v>1210160</v>
      </c>
      <c r="G58" s="399">
        <v>120000</v>
      </c>
      <c r="H58" s="399"/>
      <c r="I58" s="399"/>
      <c r="J58" s="399"/>
      <c r="K58" s="399">
        <v>82500</v>
      </c>
      <c r="L58" s="399"/>
      <c r="M58" s="399"/>
      <c r="N58" s="468"/>
      <c r="O58" s="469"/>
      <c r="P58" s="175"/>
      <c r="Q58" s="471"/>
      <c r="R58" s="471"/>
      <c r="S58" s="471"/>
      <c r="T58" s="471"/>
      <c r="U58" s="471"/>
      <c r="V58" s="471"/>
      <c r="W58" s="471"/>
      <c r="X58" s="471"/>
      <c r="Y58" s="471"/>
      <c r="Z58" s="471"/>
    </row>
    <row r="59" spans="1:26" ht="21.75">
      <c r="A59" s="207" t="s">
        <v>181</v>
      </c>
      <c r="B59" s="537">
        <v>30000</v>
      </c>
      <c r="C59" s="397">
        <f t="shared" si="2"/>
        <v>25000</v>
      </c>
      <c r="D59" s="399">
        <v>25000</v>
      </c>
      <c r="E59" s="399"/>
      <c r="F59" s="399"/>
      <c r="G59" s="533"/>
      <c r="H59" s="399"/>
      <c r="I59" s="399"/>
      <c r="J59" s="399"/>
      <c r="K59" s="399"/>
      <c r="L59" s="399"/>
      <c r="M59" s="399"/>
      <c r="N59" s="474"/>
      <c r="O59" s="469"/>
      <c r="P59" s="175"/>
      <c r="Q59" s="471"/>
      <c r="R59" s="471"/>
      <c r="S59" s="471"/>
      <c r="T59" s="471"/>
      <c r="U59" s="471"/>
      <c r="V59" s="471"/>
      <c r="W59" s="471"/>
      <c r="X59" s="471"/>
      <c r="Y59" s="471"/>
      <c r="Z59" s="471"/>
    </row>
    <row r="60" spans="1:26" ht="21.75">
      <c r="A60" s="207" t="s">
        <v>1138</v>
      </c>
      <c r="B60" s="537">
        <v>2474960</v>
      </c>
      <c r="C60" s="397">
        <f t="shared" si="2"/>
        <v>10454295</v>
      </c>
      <c r="D60" s="398"/>
      <c r="E60" s="399"/>
      <c r="F60" s="399"/>
      <c r="G60" s="399"/>
      <c r="H60" s="399"/>
      <c r="I60" s="399"/>
      <c r="J60" s="399"/>
      <c r="K60" s="399"/>
      <c r="L60" s="399"/>
      <c r="M60" s="399">
        <f>2124400+8203425+126470</f>
        <v>10454295</v>
      </c>
      <c r="N60" s="212"/>
      <c r="O60" s="463"/>
      <c r="P60" s="175"/>
      <c r="Q60" s="464"/>
      <c r="R60" s="464"/>
      <c r="S60" s="464"/>
      <c r="T60" s="464"/>
      <c r="U60" s="464"/>
      <c r="V60" s="464"/>
      <c r="W60" s="464"/>
      <c r="X60" s="464"/>
      <c r="Y60" s="464"/>
      <c r="Z60" s="464"/>
    </row>
    <row r="61" spans="1:13" ht="21.75">
      <c r="A61" s="207" t="s">
        <v>912</v>
      </c>
      <c r="B61" s="537">
        <f>263600</f>
        <v>263600</v>
      </c>
      <c r="C61" s="397">
        <f t="shared" si="2"/>
        <v>103600</v>
      </c>
      <c r="D61" s="399">
        <v>103600</v>
      </c>
      <c r="E61" s="534"/>
      <c r="F61" s="399"/>
      <c r="G61" s="399"/>
      <c r="H61" s="399"/>
      <c r="I61" s="399"/>
      <c r="J61" s="399"/>
      <c r="K61" s="399"/>
      <c r="L61" s="399"/>
      <c r="M61" s="399"/>
    </row>
    <row r="62" spans="1:13" ht="22.5" customHeight="1">
      <c r="A62" s="411" t="s">
        <v>913</v>
      </c>
      <c r="B62" s="537">
        <f>840000+504000+197000</f>
        <v>1541000</v>
      </c>
      <c r="C62" s="404">
        <f t="shared" si="2"/>
        <v>1399500</v>
      </c>
      <c r="D62" s="404">
        <v>704000</v>
      </c>
      <c r="E62" s="399"/>
      <c r="F62" s="399"/>
      <c r="G62" s="399"/>
      <c r="H62" s="399"/>
      <c r="I62" s="399">
        <v>501500</v>
      </c>
      <c r="J62" s="399"/>
      <c r="K62" s="399"/>
      <c r="L62" s="399">
        <v>194000</v>
      </c>
      <c r="M62" s="399"/>
    </row>
    <row r="63" spans="1:13" ht="24" customHeight="1" thickBot="1">
      <c r="A63" s="209" t="s">
        <v>914</v>
      </c>
      <c r="B63" s="243">
        <f>SUM(B49:B62)</f>
        <v>20000000</v>
      </c>
      <c r="C63" s="535">
        <f t="shared" si="2"/>
        <v>25343994.86</v>
      </c>
      <c r="D63" s="402">
        <f aca="true" t="shared" si="3" ref="D63:M63">SUM(D50:D62)</f>
        <v>7470817.96</v>
      </c>
      <c r="E63" s="402">
        <f t="shared" si="3"/>
        <v>338643</v>
      </c>
      <c r="F63" s="402">
        <f t="shared" si="3"/>
        <v>3299303.8</v>
      </c>
      <c r="G63" s="402">
        <f t="shared" si="3"/>
        <v>172600</v>
      </c>
      <c r="H63" s="402">
        <f t="shared" si="3"/>
        <v>163867</v>
      </c>
      <c r="I63" s="402">
        <f t="shared" si="3"/>
        <v>2309635.85</v>
      </c>
      <c r="J63" s="402">
        <f t="shared" si="3"/>
        <v>145300.69</v>
      </c>
      <c r="K63" s="402">
        <f t="shared" si="3"/>
        <v>616794</v>
      </c>
      <c r="L63" s="402">
        <f t="shared" si="3"/>
        <v>372737.56</v>
      </c>
      <c r="M63" s="402">
        <f t="shared" si="3"/>
        <v>10454295</v>
      </c>
    </row>
    <row r="64" spans="1:13" ht="26.25" customHeight="1" thickTop="1">
      <c r="A64" s="212"/>
      <c r="B64" s="463"/>
      <c r="C64" s="490"/>
      <c r="D64" s="464"/>
      <c r="E64" s="464"/>
      <c r="F64" s="464"/>
      <c r="G64" s="464"/>
      <c r="H64" s="464"/>
      <c r="I64" s="464"/>
      <c r="J64" s="464"/>
      <c r="K64" s="464"/>
      <c r="L64" s="464"/>
      <c r="M64" s="464"/>
    </row>
    <row r="65" spans="1:13" ht="26.25" customHeight="1">
      <c r="A65" s="212"/>
      <c r="B65" s="463"/>
      <c r="C65" s="490"/>
      <c r="D65" s="464"/>
      <c r="E65" s="464"/>
      <c r="F65" s="464"/>
      <c r="G65" s="464"/>
      <c r="H65" s="464"/>
      <c r="I65" s="464"/>
      <c r="J65" s="464"/>
      <c r="K65" s="464"/>
      <c r="L65" s="464"/>
      <c r="M65" s="464"/>
    </row>
    <row r="66" spans="1:13" ht="27.75" customHeight="1">
      <c r="A66" s="848">
        <v>2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</row>
    <row r="67" spans="1:14" ht="26.25" customHeight="1">
      <c r="A67" s="407"/>
      <c r="B67" s="408"/>
      <c r="C67" s="409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392">
        <f>SUM(D67:M67)</f>
        <v>0</v>
      </c>
    </row>
    <row r="68" spans="1:14" ht="21.75">
      <c r="A68" s="539" t="s">
        <v>204</v>
      </c>
      <c r="B68" s="223"/>
      <c r="C68" s="223"/>
      <c r="D68" s="223"/>
      <c r="E68" s="223"/>
      <c r="F68" s="223"/>
      <c r="G68" s="406"/>
      <c r="H68" s="406"/>
      <c r="I68" s="406"/>
      <c r="J68" s="223"/>
      <c r="K68" s="223"/>
      <c r="L68" s="223"/>
      <c r="M68" s="223"/>
      <c r="N68" s="392"/>
    </row>
    <row r="69" spans="1:14" ht="21.75">
      <c r="A69" s="207" t="s">
        <v>205</v>
      </c>
      <c r="B69" s="235">
        <v>435000</v>
      </c>
      <c r="C69" s="192">
        <v>573838.04</v>
      </c>
      <c r="D69" s="191"/>
      <c r="E69" s="191"/>
      <c r="F69" s="191"/>
      <c r="G69" s="224"/>
      <c r="H69" s="191"/>
      <c r="I69" s="191"/>
      <c r="J69" s="191"/>
      <c r="K69" s="191"/>
      <c r="L69" s="191"/>
      <c r="M69" s="191"/>
      <c r="N69" s="392"/>
    </row>
    <row r="70" spans="1:14" ht="21.75">
      <c r="A70" s="207" t="s">
        <v>915</v>
      </c>
      <c r="B70" s="235">
        <v>84500</v>
      </c>
      <c r="C70" s="192">
        <v>120190.87</v>
      </c>
      <c r="D70" s="193"/>
      <c r="E70" s="193"/>
      <c r="F70" s="394"/>
      <c r="G70" s="193"/>
      <c r="H70" s="395"/>
      <c r="I70" s="193"/>
      <c r="J70" s="193"/>
      <c r="K70" s="193"/>
      <c r="L70" s="193"/>
      <c r="M70" s="193"/>
      <c r="N70" s="392"/>
    </row>
    <row r="71" spans="1:13" ht="21.75">
      <c r="A71" s="207" t="s">
        <v>1170</v>
      </c>
      <c r="B71" s="235">
        <v>50000</v>
      </c>
      <c r="C71" s="192">
        <v>104786.7</v>
      </c>
      <c r="D71" s="193"/>
      <c r="E71" s="193"/>
      <c r="F71" s="394"/>
      <c r="G71" s="193"/>
      <c r="H71" s="395"/>
      <c r="I71" s="193"/>
      <c r="J71" s="193"/>
      <c r="K71" s="193"/>
      <c r="L71" s="193"/>
      <c r="M71" s="193"/>
    </row>
    <row r="72" spans="1:13" ht="21.75">
      <c r="A72" s="207" t="s">
        <v>916</v>
      </c>
      <c r="B72" s="235">
        <v>0</v>
      </c>
      <c r="C72" s="192">
        <v>46488</v>
      </c>
      <c r="D72" s="193"/>
      <c r="E72" s="193"/>
      <c r="F72" s="193"/>
      <c r="G72" s="396"/>
      <c r="H72" s="193"/>
      <c r="I72" s="193"/>
      <c r="J72" s="193"/>
      <c r="K72" s="193"/>
      <c r="L72" s="193"/>
      <c r="M72" s="193"/>
    </row>
    <row r="73" spans="1:13" ht="21.75">
      <c r="A73" s="207" t="s">
        <v>207</v>
      </c>
      <c r="B73" s="235">
        <v>166000</v>
      </c>
      <c r="C73" s="192">
        <v>84550</v>
      </c>
      <c r="D73" s="193"/>
      <c r="E73" s="193"/>
      <c r="F73" s="193"/>
      <c r="G73" s="193"/>
      <c r="H73" s="191"/>
      <c r="I73" s="193"/>
      <c r="J73" s="193"/>
      <c r="K73" s="193"/>
      <c r="L73" s="193"/>
      <c r="M73" s="193"/>
    </row>
    <row r="74" spans="1:13" ht="21.75">
      <c r="A74" s="207" t="s">
        <v>917</v>
      </c>
      <c r="B74" s="235">
        <v>0</v>
      </c>
      <c r="C74" s="194">
        <v>0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</row>
    <row r="75" spans="1:13" ht="21.75">
      <c r="A75" s="207" t="s">
        <v>918</v>
      </c>
      <c r="B75" s="236">
        <v>11911500</v>
      </c>
      <c r="C75" s="194">
        <v>14483349.05</v>
      </c>
      <c r="D75" s="193"/>
      <c r="E75" s="193"/>
      <c r="F75" s="193"/>
      <c r="G75" s="193"/>
      <c r="H75" s="193"/>
      <c r="I75" s="193"/>
      <c r="J75" s="193"/>
      <c r="K75" s="193"/>
      <c r="L75" s="193"/>
      <c r="M75" s="193"/>
    </row>
    <row r="76" spans="1:13" ht="21.75">
      <c r="A76" s="207" t="s">
        <v>919</v>
      </c>
      <c r="B76" s="235">
        <v>7353000</v>
      </c>
      <c r="C76" s="192">
        <v>7608859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</row>
    <row r="77" spans="1:13" ht="21.75">
      <c r="A77" s="207" t="s">
        <v>920</v>
      </c>
      <c r="B77" s="236" t="s">
        <v>1126</v>
      </c>
      <c r="C77" s="194" t="s">
        <v>1126</v>
      </c>
      <c r="D77" s="193"/>
      <c r="E77" s="193"/>
      <c r="F77" s="193"/>
      <c r="G77" s="193"/>
      <c r="H77" s="193"/>
      <c r="I77" s="193"/>
      <c r="J77" s="193"/>
      <c r="K77" s="193"/>
      <c r="L77" s="193"/>
      <c r="M77" s="193"/>
    </row>
    <row r="78" spans="1:13" ht="21.75">
      <c r="A78" s="210" t="s">
        <v>441</v>
      </c>
      <c r="B78" s="237"/>
      <c r="C78" s="195">
        <v>8800438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</row>
    <row r="79" spans="1:13" ht="22.5" thickBot="1">
      <c r="A79" s="211" t="s">
        <v>921</v>
      </c>
      <c r="B79" s="238">
        <f>SUM(B69:B78)</f>
        <v>20000000</v>
      </c>
      <c r="C79" s="197">
        <f>SUM(C69:C78)</f>
        <v>31822499.66</v>
      </c>
      <c r="D79" s="198"/>
      <c r="E79" s="198"/>
      <c r="F79" s="198"/>
      <c r="G79" s="198"/>
      <c r="H79" s="198"/>
      <c r="I79" s="198"/>
      <c r="J79" s="198"/>
      <c r="K79" s="198"/>
      <c r="L79" s="198"/>
      <c r="M79" s="198"/>
    </row>
    <row r="80" spans="1:13" ht="23.25" thickBot="1" thickTop="1">
      <c r="A80" s="538" t="s">
        <v>922</v>
      </c>
      <c r="B80" s="199"/>
      <c r="C80" s="200">
        <f>SUM(C79-C63)</f>
        <v>6478504.800000001</v>
      </c>
      <c r="D80" s="201"/>
      <c r="E80" s="201"/>
      <c r="F80" s="201"/>
      <c r="G80" s="393"/>
      <c r="H80" s="201"/>
      <c r="I80" s="201"/>
      <c r="J80" s="201"/>
      <c r="K80" s="201"/>
      <c r="L80" s="201"/>
      <c r="M80" s="201"/>
    </row>
    <row r="81" spans="1:13" ht="22.5" thickTop="1">
      <c r="A81" s="213"/>
      <c r="B81" s="199"/>
      <c r="C81" s="203"/>
      <c r="D81" s="201"/>
      <c r="E81" s="202"/>
      <c r="F81" s="202"/>
      <c r="G81" s="201"/>
      <c r="H81" s="201"/>
      <c r="I81" s="201"/>
      <c r="J81" s="201"/>
      <c r="K81" s="201"/>
      <c r="L81" s="201"/>
      <c r="M81" s="201"/>
    </row>
    <row r="82" spans="1:13" ht="21.75">
      <c r="A82" s="213"/>
      <c r="B82" s="199"/>
      <c r="C82" s="203"/>
      <c r="D82" s="201"/>
      <c r="E82" s="202"/>
      <c r="F82" s="202"/>
      <c r="G82" s="201"/>
      <c r="H82" s="201"/>
      <c r="I82" s="201"/>
      <c r="J82" s="201"/>
      <c r="K82" s="201"/>
      <c r="L82" s="201"/>
      <c r="M82" s="201"/>
    </row>
    <row r="83" spans="1:6" ht="22.5">
      <c r="A83" s="213"/>
      <c r="B83" s="138"/>
      <c r="C83" s="136" t="s">
        <v>153</v>
      </c>
      <c r="D83" s="138"/>
      <c r="E83" s="143"/>
      <c r="F83" s="277"/>
    </row>
    <row r="84" spans="1:6" ht="22.5">
      <c r="A84" s="213"/>
      <c r="B84" s="138"/>
      <c r="C84" s="136" t="s">
        <v>982</v>
      </c>
      <c r="D84" s="138"/>
      <c r="E84" s="244"/>
      <c r="F84" s="3"/>
    </row>
    <row r="85" ht="21.75">
      <c r="A85" s="213"/>
    </row>
    <row r="86" spans="1:13" ht="21.75">
      <c r="A86" s="213"/>
      <c r="B86" s="199"/>
      <c r="C86" s="203"/>
      <c r="D86" s="201"/>
      <c r="E86" s="202"/>
      <c r="F86" s="202"/>
      <c r="G86" s="201"/>
      <c r="H86" s="201"/>
      <c r="I86" s="201"/>
      <c r="J86" s="201"/>
      <c r="K86" s="201"/>
      <c r="L86" s="201"/>
      <c r="M86" s="201"/>
    </row>
    <row r="87" ht="25.5" customHeight="1"/>
    <row r="88" spans="2:6" ht="22.5">
      <c r="B88" s="136" t="s">
        <v>983</v>
      </c>
      <c r="C88" s="136" t="s">
        <v>153</v>
      </c>
      <c r="D88" s="138"/>
      <c r="E88" s="143"/>
      <c r="F88" s="277"/>
    </row>
    <row r="89" spans="1:6" ht="22.5">
      <c r="A89" s="136"/>
      <c r="B89" s="136"/>
      <c r="C89" s="136" t="s">
        <v>982</v>
      </c>
      <c r="D89" s="138"/>
      <c r="E89" s="244"/>
      <c r="F89" s="3"/>
    </row>
    <row r="90" spans="1:2" ht="22.5">
      <c r="A90" s="136"/>
      <c r="B90" s="138"/>
    </row>
    <row r="94" spans="1:13" ht="21.75">
      <c r="A94" s="848">
        <v>1</v>
      </c>
      <c r="B94" s="848"/>
      <c r="C94" s="848"/>
      <c r="D94" s="848"/>
      <c r="E94" s="848"/>
      <c r="F94" s="848"/>
      <c r="G94" s="848"/>
      <c r="H94" s="848"/>
      <c r="I94" s="848"/>
      <c r="J94" s="848"/>
      <c r="K94" s="848"/>
      <c r="L94" s="848"/>
      <c r="M94" s="848"/>
    </row>
    <row r="95" spans="1:13" ht="21.75">
      <c r="A95" s="869" t="s">
        <v>1153</v>
      </c>
      <c r="B95" s="869"/>
      <c r="C95" s="869"/>
      <c r="D95" s="869"/>
      <c r="E95" s="869"/>
      <c r="F95" s="869"/>
      <c r="G95" s="869"/>
      <c r="H95" s="869"/>
      <c r="I95" s="869"/>
      <c r="J95" s="869"/>
      <c r="K95" s="869"/>
      <c r="L95" s="869"/>
      <c r="M95" s="869"/>
    </row>
    <row r="96" spans="1:13" ht="21.75">
      <c r="A96" s="886" t="s">
        <v>923</v>
      </c>
      <c r="B96" s="886"/>
      <c r="C96" s="886"/>
      <c r="D96" s="886"/>
      <c r="E96" s="886"/>
      <c r="F96" s="886"/>
      <c r="G96" s="886"/>
      <c r="H96" s="886"/>
      <c r="I96" s="886"/>
      <c r="J96" s="886"/>
      <c r="K96" s="886"/>
      <c r="L96" s="886"/>
      <c r="M96" s="886"/>
    </row>
    <row r="97" spans="1:13" ht="21.75">
      <c r="A97" s="887" t="s">
        <v>484</v>
      </c>
      <c r="B97" s="887"/>
      <c r="C97" s="887"/>
      <c r="D97" s="887"/>
      <c r="E97" s="887"/>
      <c r="F97" s="887"/>
      <c r="G97" s="887"/>
      <c r="H97" s="887"/>
      <c r="I97" s="887"/>
      <c r="J97" s="887"/>
      <c r="K97" s="887"/>
      <c r="L97" s="887"/>
      <c r="M97" s="887"/>
    </row>
    <row r="98" spans="1:13" ht="21.75">
      <c r="A98" s="181" t="s">
        <v>1163</v>
      </c>
      <c r="B98" s="182" t="s">
        <v>1131</v>
      </c>
      <c r="C98" s="183" t="s">
        <v>1142</v>
      </c>
      <c r="D98" s="182" t="s">
        <v>892</v>
      </c>
      <c r="E98" s="184" t="s">
        <v>893</v>
      </c>
      <c r="F98" s="182" t="s">
        <v>898</v>
      </c>
      <c r="G98" s="184" t="s">
        <v>899</v>
      </c>
      <c r="H98" s="182" t="s">
        <v>900</v>
      </c>
      <c r="I98" s="184" t="s">
        <v>901</v>
      </c>
      <c r="J98" s="182" t="s">
        <v>904</v>
      </c>
      <c r="K98" s="184" t="s">
        <v>905</v>
      </c>
      <c r="L98" s="182" t="s">
        <v>906</v>
      </c>
      <c r="M98" s="181" t="s">
        <v>1138</v>
      </c>
    </row>
    <row r="99" spans="1:13" ht="21.75">
      <c r="A99" s="185"/>
      <c r="B99" s="185"/>
      <c r="C99" s="185"/>
      <c r="D99" s="186" t="s">
        <v>907</v>
      </c>
      <c r="E99" s="187" t="s">
        <v>908</v>
      </c>
      <c r="F99" s="188"/>
      <c r="G99" s="187"/>
      <c r="H99" s="188"/>
      <c r="I99" s="189"/>
      <c r="J99" s="188" t="s">
        <v>909</v>
      </c>
      <c r="K99" s="187" t="s">
        <v>910</v>
      </c>
      <c r="L99" s="188"/>
      <c r="M99" s="185"/>
    </row>
    <row r="100" spans="1:13" ht="21.75">
      <c r="A100" s="208" t="s">
        <v>911</v>
      </c>
      <c r="B100" s="190"/>
      <c r="C100" s="190"/>
      <c r="D100" s="190"/>
      <c r="E100" s="190"/>
      <c r="F100" s="190"/>
      <c r="G100" s="391"/>
      <c r="H100" s="190"/>
      <c r="I100" s="190"/>
      <c r="J100" s="190"/>
      <c r="K100" s="190"/>
      <c r="L100" s="190"/>
      <c r="M100" s="190"/>
    </row>
    <row r="101" spans="1:13" ht="21.75">
      <c r="A101" s="206" t="s">
        <v>1246</v>
      </c>
      <c r="B101" s="460">
        <v>4092840</v>
      </c>
      <c r="C101" s="392">
        <f>SUM(D101:M101)</f>
        <v>1965840</v>
      </c>
      <c r="D101" s="403">
        <v>1965840</v>
      </c>
      <c r="E101" s="397">
        <v>0</v>
      </c>
      <c r="F101" s="397"/>
      <c r="G101" s="397"/>
      <c r="H101" s="397"/>
      <c r="I101" s="397"/>
      <c r="J101" s="397">
        <v>0</v>
      </c>
      <c r="K101" s="397">
        <v>0</v>
      </c>
      <c r="L101" s="397">
        <v>0</v>
      </c>
      <c r="M101" s="397">
        <v>0</v>
      </c>
    </row>
    <row r="102" spans="1:13" ht="21.75">
      <c r="A102" s="206" t="s">
        <v>1247</v>
      </c>
      <c r="B102" s="460"/>
      <c r="C102" s="392">
        <f aca="true" t="shared" si="4" ref="C102:C114">SUM(D102:M102)</f>
        <v>1964213</v>
      </c>
      <c r="D102" s="399">
        <v>1256195</v>
      </c>
      <c r="E102" s="397"/>
      <c r="F102" s="397">
        <v>127120</v>
      </c>
      <c r="G102" s="397">
        <v>0</v>
      </c>
      <c r="H102" s="397">
        <v>135495</v>
      </c>
      <c r="I102" s="397">
        <v>445403</v>
      </c>
      <c r="J102" s="397"/>
      <c r="K102" s="397"/>
      <c r="L102" s="397"/>
      <c r="M102" s="397"/>
    </row>
    <row r="103" spans="1:13" ht="21.75">
      <c r="A103" s="207" t="s">
        <v>1167</v>
      </c>
      <c r="B103" s="461">
        <f>118000</f>
        <v>118000</v>
      </c>
      <c r="C103" s="392">
        <f t="shared" si="4"/>
        <v>249600</v>
      </c>
      <c r="D103" s="400">
        <v>117480</v>
      </c>
      <c r="E103" s="398">
        <v>0</v>
      </c>
      <c r="F103" s="398">
        <v>0</v>
      </c>
      <c r="G103" s="399">
        <v>0</v>
      </c>
      <c r="H103" s="399">
        <v>0</v>
      </c>
      <c r="I103" s="399">
        <v>0</v>
      </c>
      <c r="J103" s="398">
        <v>0</v>
      </c>
      <c r="K103" s="398">
        <v>0</v>
      </c>
      <c r="L103" s="398">
        <f>132120</f>
        <v>132120</v>
      </c>
      <c r="M103" s="398">
        <v>0</v>
      </c>
    </row>
    <row r="104" spans="1:13" ht="21.75">
      <c r="A104" s="207" t="s">
        <v>1145</v>
      </c>
      <c r="B104" s="461">
        <v>576800</v>
      </c>
      <c r="C104" s="392">
        <f t="shared" si="4"/>
        <v>773107</v>
      </c>
      <c r="D104" s="399">
        <v>275760</v>
      </c>
      <c r="E104" s="399">
        <v>98400</v>
      </c>
      <c r="F104" s="399">
        <f>193490+204780+677</f>
        <v>398947</v>
      </c>
      <c r="G104" s="399">
        <v>0</v>
      </c>
      <c r="H104" s="399">
        <v>0</v>
      </c>
      <c r="I104" s="399">
        <v>0</v>
      </c>
      <c r="J104" s="398">
        <v>0</v>
      </c>
      <c r="K104" s="398">
        <v>0</v>
      </c>
      <c r="L104" s="398">
        <v>0</v>
      </c>
      <c r="M104" s="398">
        <v>0</v>
      </c>
    </row>
    <row r="105" spans="1:13" ht="21.75">
      <c r="A105" s="207" t="s">
        <v>1146</v>
      </c>
      <c r="B105" s="461">
        <v>1472000</v>
      </c>
      <c r="C105" s="392">
        <f t="shared" si="4"/>
        <v>975113</v>
      </c>
      <c r="D105" s="400">
        <f>220812+166000+36000+200000</f>
        <v>622812</v>
      </c>
      <c r="E105" s="399">
        <f>30750+20000</f>
        <v>50750</v>
      </c>
      <c r="F105" s="399">
        <f>5400+30000+60000</f>
        <v>95400</v>
      </c>
      <c r="G105" s="399">
        <v>4630</v>
      </c>
      <c r="H105" s="399">
        <f>35390+30000</f>
        <v>65390</v>
      </c>
      <c r="I105" s="399">
        <f>29814+105000</f>
        <v>134814</v>
      </c>
      <c r="J105" s="398">
        <v>0</v>
      </c>
      <c r="K105" s="398">
        <v>0</v>
      </c>
      <c r="L105" s="398">
        <f>1317</f>
        <v>1317</v>
      </c>
      <c r="M105" s="398">
        <v>0</v>
      </c>
    </row>
    <row r="106" spans="1:13" ht="21.75">
      <c r="A106" s="207" t="s">
        <v>1147</v>
      </c>
      <c r="B106" s="461">
        <v>4043800</v>
      </c>
      <c r="C106" s="392">
        <f t="shared" si="4"/>
        <v>2126040.7199999997</v>
      </c>
      <c r="D106" s="399">
        <f>945557.19+858.04</f>
        <v>946415.23</v>
      </c>
      <c r="E106" s="400">
        <v>13700</v>
      </c>
      <c r="F106" s="399">
        <v>240632</v>
      </c>
      <c r="G106" s="399">
        <v>2100</v>
      </c>
      <c r="H106" s="399">
        <v>25920</v>
      </c>
      <c r="I106" s="397">
        <f>377014.75+81858.74</f>
        <v>458873.49</v>
      </c>
      <c r="J106" s="399">
        <f>24200+10000</f>
        <v>34200</v>
      </c>
      <c r="K106" s="399">
        <v>404200</v>
      </c>
      <c r="L106" s="401"/>
      <c r="M106" s="398">
        <v>0</v>
      </c>
    </row>
    <row r="107" spans="1:13" ht="21.75">
      <c r="A107" s="207" t="s">
        <v>1148</v>
      </c>
      <c r="B107" s="461">
        <v>2199000</v>
      </c>
      <c r="C107" s="392">
        <f t="shared" si="4"/>
        <v>3214107.15</v>
      </c>
      <c r="D107" s="400">
        <f>304946.15-5200</f>
        <v>299746.15</v>
      </c>
      <c r="E107" s="399">
        <v>71253</v>
      </c>
      <c r="F107" s="399">
        <f>1034085.8+5200+1515000</f>
        <v>2554285.8</v>
      </c>
      <c r="G107" s="399">
        <v>93900.2</v>
      </c>
      <c r="H107" s="399">
        <v>0</v>
      </c>
      <c r="I107" s="399">
        <f>194923-1</f>
        <v>194922</v>
      </c>
      <c r="J107" s="399">
        <v>0</v>
      </c>
      <c r="K107" s="399">
        <v>0</v>
      </c>
      <c r="L107" s="398">
        <v>0</v>
      </c>
      <c r="M107" s="398">
        <v>0</v>
      </c>
    </row>
    <row r="108" spans="1:13" ht="21.75">
      <c r="A108" s="207" t="s">
        <v>1149</v>
      </c>
      <c r="B108" s="461">
        <v>321000</v>
      </c>
      <c r="C108" s="392">
        <f t="shared" si="4"/>
        <v>318286.15</v>
      </c>
      <c r="D108" s="400">
        <v>160114.87</v>
      </c>
      <c r="E108" s="399">
        <v>0</v>
      </c>
      <c r="F108" s="399">
        <v>0</v>
      </c>
      <c r="G108" s="399">
        <v>0</v>
      </c>
      <c r="H108" s="399">
        <v>0</v>
      </c>
      <c r="I108" s="399">
        <v>0</v>
      </c>
      <c r="J108" s="399">
        <v>0</v>
      </c>
      <c r="K108" s="399">
        <v>0</v>
      </c>
      <c r="L108" s="399">
        <f>60926.71+97244.57</f>
        <v>158171.28</v>
      </c>
      <c r="M108" s="398">
        <v>0</v>
      </c>
    </row>
    <row r="109" spans="1:13" ht="21.75">
      <c r="A109" s="207" t="s">
        <v>1152</v>
      </c>
      <c r="B109" s="461">
        <v>1746080</v>
      </c>
      <c r="C109" s="392">
        <f t="shared" si="4"/>
        <v>1728580</v>
      </c>
      <c r="D109" s="399">
        <v>0</v>
      </c>
      <c r="E109" s="399">
        <v>0</v>
      </c>
      <c r="F109" s="399">
        <v>1262080</v>
      </c>
      <c r="G109" s="399">
        <v>120000</v>
      </c>
      <c r="H109" s="399">
        <v>0</v>
      </c>
      <c r="I109" s="399">
        <v>0</v>
      </c>
      <c r="J109" s="399">
        <v>74000</v>
      </c>
      <c r="K109" s="399">
        <f>175000+97500</f>
        <v>272500</v>
      </c>
      <c r="L109" s="399">
        <v>0</v>
      </c>
      <c r="M109" s="399">
        <v>0</v>
      </c>
    </row>
    <row r="110" spans="1:13" ht="21.75">
      <c r="A110" s="207" t="s">
        <v>181</v>
      </c>
      <c r="B110" s="461">
        <v>267250</v>
      </c>
      <c r="C110" s="392">
        <f t="shared" si="4"/>
        <v>262250</v>
      </c>
      <c r="D110" s="399">
        <v>25000</v>
      </c>
      <c r="E110" s="399">
        <v>0</v>
      </c>
      <c r="F110" s="399">
        <v>237250</v>
      </c>
      <c r="G110" s="399">
        <v>0</v>
      </c>
      <c r="H110" s="399"/>
      <c r="I110" s="399">
        <v>0</v>
      </c>
      <c r="J110" s="399"/>
      <c r="K110" s="399">
        <v>0</v>
      </c>
      <c r="L110" s="399">
        <v>0</v>
      </c>
      <c r="M110" s="399">
        <v>0</v>
      </c>
    </row>
    <row r="111" spans="1:13" ht="21.75">
      <c r="A111" s="207" t="s">
        <v>1138</v>
      </c>
      <c r="B111" s="461">
        <v>3817230</v>
      </c>
      <c r="C111" s="392">
        <f t="shared" si="4"/>
        <v>9601540</v>
      </c>
      <c r="D111" s="398">
        <v>0</v>
      </c>
      <c r="E111" s="399">
        <v>0</v>
      </c>
      <c r="F111" s="399">
        <v>0</v>
      </c>
      <c r="G111" s="399">
        <v>0</v>
      </c>
      <c r="H111" s="399">
        <v>0</v>
      </c>
      <c r="I111" s="399">
        <v>0</v>
      </c>
      <c r="J111" s="399">
        <v>0</v>
      </c>
      <c r="K111" s="399">
        <v>0</v>
      </c>
      <c r="L111" s="399">
        <v>0</v>
      </c>
      <c r="M111" s="399">
        <f>3260255.14+6341284.86</f>
        <v>9601540</v>
      </c>
    </row>
    <row r="112" spans="1:13" ht="21.75">
      <c r="A112" s="207" t="s">
        <v>912</v>
      </c>
      <c r="B112" s="461">
        <v>53000</v>
      </c>
      <c r="C112" s="392">
        <f t="shared" si="4"/>
        <v>52000</v>
      </c>
      <c r="D112" s="399">
        <v>52000</v>
      </c>
      <c r="E112" s="399"/>
      <c r="F112" s="399"/>
      <c r="G112" s="399">
        <v>0</v>
      </c>
      <c r="H112" s="399">
        <v>0</v>
      </c>
      <c r="I112" s="399">
        <v>0</v>
      </c>
      <c r="J112" s="399">
        <v>0</v>
      </c>
      <c r="K112" s="399">
        <v>0</v>
      </c>
      <c r="L112" s="399">
        <v>0</v>
      </c>
      <c r="M112" s="399">
        <v>0</v>
      </c>
    </row>
    <row r="113" spans="1:13" ht="21.75">
      <c r="A113" s="411" t="s">
        <v>913</v>
      </c>
      <c r="B113" s="462">
        <v>2293000</v>
      </c>
      <c r="C113" s="392">
        <f t="shared" si="4"/>
        <v>4504000</v>
      </c>
      <c r="D113" s="404">
        <v>0</v>
      </c>
      <c r="E113" s="399">
        <v>0</v>
      </c>
      <c r="F113" s="399">
        <v>0</v>
      </c>
      <c r="G113" s="399">
        <v>0</v>
      </c>
      <c r="H113" s="399">
        <v>0</v>
      </c>
      <c r="I113" s="399">
        <f>1047000+3457000</f>
        <v>4504000</v>
      </c>
      <c r="J113" s="399">
        <v>0</v>
      </c>
      <c r="K113" s="399">
        <v>0</v>
      </c>
      <c r="L113" s="399">
        <v>0</v>
      </c>
      <c r="M113" s="399">
        <v>0</v>
      </c>
    </row>
    <row r="114" spans="1:13" ht="22.5" thickBot="1">
      <c r="A114" s="209" t="s">
        <v>914</v>
      </c>
      <c r="B114" s="243">
        <f>SUM(B100:B113)</f>
        <v>21000000</v>
      </c>
      <c r="C114" s="459">
        <f t="shared" si="4"/>
        <v>27734677.020000003</v>
      </c>
      <c r="D114" s="402">
        <f aca="true" t="shared" si="5" ref="D114:M114">SUM(D101:D113)</f>
        <v>5721363.250000001</v>
      </c>
      <c r="E114" s="402">
        <f t="shared" si="5"/>
        <v>234103</v>
      </c>
      <c r="F114" s="402">
        <f t="shared" si="5"/>
        <v>4915714.8</v>
      </c>
      <c r="G114" s="402">
        <f t="shared" si="5"/>
        <v>220630.2</v>
      </c>
      <c r="H114" s="402">
        <f t="shared" si="5"/>
        <v>226805</v>
      </c>
      <c r="I114" s="402">
        <f t="shared" si="5"/>
        <v>5738012.49</v>
      </c>
      <c r="J114" s="402">
        <f t="shared" si="5"/>
        <v>108200</v>
      </c>
      <c r="K114" s="402">
        <f t="shared" si="5"/>
        <v>676700</v>
      </c>
      <c r="L114" s="402">
        <f t="shared" si="5"/>
        <v>291608.28</v>
      </c>
      <c r="M114" s="478">
        <f t="shared" si="5"/>
        <v>9601540</v>
      </c>
    </row>
    <row r="115" spans="1:13" ht="22.5" thickTop="1">
      <c r="A115" s="212"/>
      <c r="B115" s="463"/>
      <c r="C115" s="175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</row>
    <row r="116" spans="1:13" ht="21.75">
      <c r="A116" s="212"/>
      <c r="B116" s="463"/>
      <c r="C116" s="175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</row>
    <row r="117" spans="1:13" ht="21.75">
      <c r="A117" s="212"/>
      <c r="B117" s="463"/>
      <c r="C117" s="175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</row>
    <row r="118" spans="1:13" ht="21.75">
      <c r="A118" s="848">
        <v>2</v>
      </c>
      <c r="B118" s="848"/>
      <c r="C118" s="848"/>
      <c r="D118" s="848"/>
      <c r="E118" s="848"/>
      <c r="F118" s="848"/>
      <c r="G118" s="848"/>
      <c r="H118" s="848"/>
      <c r="I118" s="848"/>
      <c r="J118" s="848"/>
      <c r="K118" s="848"/>
      <c r="L118" s="848"/>
      <c r="M118" s="848"/>
    </row>
    <row r="119" spans="1:13" ht="21.75">
      <c r="A119" s="407"/>
      <c r="B119" s="408"/>
      <c r="C119" s="409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</row>
    <row r="120" spans="1:13" ht="21.75">
      <c r="A120" s="405" t="s">
        <v>204</v>
      </c>
      <c r="B120" s="223"/>
      <c r="C120" s="223"/>
      <c r="D120" s="223"/>
      <c r="E120" s="223"/>
      <c r="F120" s="223"/>
      <c r="G120" s="406"/>
      <c r="H120" s="406"/>
      <c r="I120" s="406"/>
      <c r="J120" s="223"/>
      <c r="K120" s="223"/>
      <c r="L120" s="223"/>
      <c r="M120" s="223"/>
    </row>
    <row r="121" spans="1:13" ht="21.75">
      <c r="A121" s="207" t="s">
        <v>205</v>
      </c>
      <c r="B121" s="235">
        <v>425000</v>
      </c>
      <c r="C121" s="192">
        <v>522687.48</v>
      </c>
      <c r="D121" s="191"/>
      <c r="E121" s="191"/>
      <c r="F121" s="191"/>
      <c r="G121" s="224"/>
      <c r="H121" s="191"/>
      <c r="I121" s="191"/>
      <c r="J121" s="191"/>
      <c r="K121" s="191"/>
      <c r="L121" s="191"/>
      <c r="M121" s="191"/>
    </row>
    <row r="122" spans="1:13" ht="21.75">
      <c r="A122" s="207" t="s">
        <v>915</v>
      </c>
      <c r="B122" s="235">
        <v>48000</v>
      </c>
      <c r="C122" s="192">
        <v>73283</v>
      </c>
      <c r="D122" s="193"/>
      <c r="E122" s="193"/>
      <c r="F122" s="394"/>
      <c r="G122" s="193"/>
      <c r="H122" s="395"/>
      <c r="I122" s="193"/>
      <c r="J122" s="193"/>
      <c r="K122" s="193"/>
      <c r="L122" s="193"/>
      <c r="M122" s="193"/>
    </row>
    <row r="123" spans="1:13" ht="21.75">
      <c r="A123" s="207" t="s">
        <v>1170</v>
      </c>
      <c r="B123" s="235">
        <v>90000</v>
      </c>
      <c r="C123" s="192">
        <v>47313.74</v>
      </c>
      <c r="D123" s="193"/>
      <c r="E123" s="193"/>
      <c r="F123" s="394"/>
      <c r="G123" s="193"/>
      <c r="H123" s="395"/>
      <c r="I123" s="193"/>
      <c r="J123" s="193"/>
      <c r="K123" s="193"/>
      <c r="L123" s="193"/>
      <c r="M123" s="193"/>
    </row>
    <row r="124" spans="1:13" ht="21.75">
      <c r="A124" s="207" t="s">
        <v>916</v>
      </c>
      <c r="B124" s="235">
        <v>0</v>
      </c>
      <c r="C124" s="192">
        <v>5686</v>
      </c>
      <c r="D124" s="193"/>
      <c r="E124" s="193"/>
      <c r="F124" s="193"/>
      <c r="G124" s="396"/>
      <c r="H124" s="193"/>
      <c r="I124" s="193"/>
      <c r="J124" s="193"/>
      <c r="K124" s="193"/>
      <c r="L124" s="193"/>
      <c r="M124" s="193"/>
    </row>
    <row r="125" spans="1:13" ht="21.75">
      <c r="A125" s="207" t="s">
        <v>207</v>
      </c>
      <c r="B125" s="235">
        <v>291000</v>
      </c>
      <c r="C125" s="192">
        <v>174132.52</v>
      </c>
      <c r="D125" s="193"/>
      <c r="E125" s="193"/>
      <c r="F125" s="193"/>
      <c r="G125" s="193"/>
      <c r="H125" s="191"/>
      <c r="I125" s="193"/>
      <c r="J125" s="193"/>
      <c r="K125" s="193"/>
      <c r="L125" s="193"/>
      <c r="M125" s="193"/>
    </row>
    <row r="126" spans="1:13" ht="21.75">
      <c r="A126" s="207" t="s">
        <v>917</v>
      </c>
      <c r="B126" s="235">
        <v>0</v>
      </c>
      <c r="C126" s="194">
        <v>0</v>
      </c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1:13" ht="21.75">
      <c r="A127" s="207" t="s">
        <v>918</v>
      </c>
      <c r="B127" s="236">
        <v>10496000</v>
      </c>
      <c r="C127" s="194">
        <v>13810334.93</v>
      </c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1:13" ht="21.75">
      <c r="A128" s="207" t="s">
        <v>919</v>
      </c>
      <c r="B128" s="235">
        <v>9650000</v>
      </c>
      <c r="C128" s="192">
        <v>7353115</v>
      </c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1:13" ht="21.75">
      <c r="A129" s="207" t="s">
        <v>920</v>
      </c>
      <c r="B129" s="236"/>
      <c r="C129" s="194">
        <v>125056.86</v>
      </c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1:13" ht="21.75">
      <c r="A130" s="210" t="s">
        <v>441</v>
      </c>
      <c r="B130" s="237"/>
      <c r="C130" s="195">
        <v>11634366.57</v>
      </c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</row>
    <row r="131" spans="1:13" ht="22.5" thickBot="1">
      <c r="A131" s="211" t="s">
        <v>921</v>
      </c>
      <c r="B131" s="238">
        <f>SUM(B121:B130)</f>
        <v>21000000</v>
      </c>
      <c r="C131" s="197">
        <f>SUM(C121:C130)</f>
        <v>33745976.1</v>
      </c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</row>
    <row r="132" spans="1:13" ht="23.25" thickBot="1" thickTop="1">
      <c r="A132" s="212" t="s">
        <v>922</v>
      </c>
      <c r="B132" s="199"/>
      <c r="C132" s="200">
        <f>SUM(C131-C114)</f>
        <v>6011299.079999998</v>
      </c>
      <c r="D132" s="201"/>
      <c r="E132" s="201"/>
      <c r="F132" s="201"/>
      <c r="G132" s="393"/>
      <c r="H132" s="201"/>
      <c r="I132" s="201"/>
      <c r="J132" s="201"/>
      <c r="K132" s="201"/>
      <c r="L132" s="201"/>
      <c r="M132" s="201"/>
    </row>
    <row r="133" spans="1:13" ht="22.5" thickTop="1">
      <c r="A133" s="213"/>
      <c r="B133" s="199"/>
      <c r="C133" s="203"/>
      <c r="D133" s="201"/>
      <c r="E133" s="202"/>
      <c r="F133" s="202"/>
      <c r="G133" s="201"/>
      <c r="H133" s="201"/>
      <c r="I133" s="201"/>
      <c r="J133" s="201"/>
      <c r="K133" s="201"/>
      <c r="L133" s="201"/>
      <c r="M133" s="201"/>
    </row>
    <row r="136" spans="1:4" ht="22.5">
      <c r="A136" s="136" t="s">
        <v>153</v>
      </c>
      <c r="B136" s="138"/>
      <c r="C136" s="143"/>
      <c r="D136" s="277"/>
    </row>
    <row r="137" spans="1:4" ht="22.5">
      <c r="A137" s="136" t="s">
        <v>982</v>
      </c>
      <c r="B137" s="138"/>
      <c r="C137" s="244"/>
      <c r="D137" s="3"/>
    </row>
  </sheetData>
  <sheetProtection/>
  <mergeCells count="12">
    <mergeCell ref="A46:M46"/>
    <mergeCell ref="A66:M66"/>
    <mergeCell ref="A118:M118"/>
    <mergeCell ref="A94:M94"/>
    <mergeCell ref="A95:M95"/>
    <mergeCell ref="A96:M96"/>
    <mergeCell ref="A97:M97"/>
    <mergeCell ref="A1:M1"/>
    <mergeCell ref="A23:M23"/>
    <mergeCell ref="A2:M2"/>
    <mergeCell ref="A3:M3"/>
    <mergeCell ref="A4:M4"/>
  </mergeCells>
  <printOptions/>
  <pageMargins left="0.24" right="0.12" top="0.42" bottom="1" header="0.61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7" sqref="A17"/>
    </sheetView>
  </sheetViews>
  <sheetFormatPr defaultColWidth="9.140625" defaultRowHeight="21.75"/>
  <cols>
    <col min="1" max="1" width="5.8515625" style="0" customWidth="1"/>
    <col min="2" max="2" width="19.421875" style="0" customWidth="1"/>
    <col min="3" max="3" width="12.57421875" style="0" customWidth="1"/>
    <col min="4" max="4" width="14.28125" style="0" customWidth="1"/>
    <col min="5" max="5" width="11.421875" style="0" customWidth="1"/>
    <col min="9" max="9" width="11.00390625" style="0" customWidth="1"/>
    <col min="12" max="12" width="11.7109375" style="0" customWidth="1"/>
    <col min="14" max="14" width="10.8515625" style="0" customWidth="1"/>
  </cols>
  <sheetData>
    <row r="1" spans="1:14" ht="21.75">
      <c r="A1" s="849" t="s">
        <v>1153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4" ht="21.75">
      <c r="A2" s="849" t="s">
        <v>924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</row>
    <row r="3" spans="1:14" ht="21.75">
      <c r="A3" s="888" t="s">
        <v>516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</row>
    <row r="4" spans="1:14" ht="21.75">
      <c r="A4" s="183" t="s">
        <v>1163</v>
      </c>
      <c r="B4" s="214"/>
      <c r="C4" s="182" t="s">
        <v>1131</v>
      </c>
      <c r="D4" s="183" t="s">
        <v>1142</v>
      </c>
      <c r="E4" s="182" t="s">
        <v>892</v>
      </c>
      <c r="F4" s="184" t="s">
        <v>893</v>
      </c>
      <c r="G4" s="182" t="s">
        <v>898</v>
      </c>
      <c r="H4" s="184" t="s">
        <v>899</v>
      </c>
      <c r="I4" s="182" t="s">
        <v>900</v>
      </c>
      <c r="J4" s="184" t="s">
        <v>901</v>
      </c>
      <c r="K4" s="182" t="s">
        <v>904</v>
      </c>
      <c r="L4" s="184" t="s">
        <v>905</v>
      </c>
      <c r="M4" s="182" t="s">
        <v>906</v>
      </c>
      <c r="N4" s="181" t="s">
        <v>1138</v>
      </c>
    </row>
    <row r="5" spans="1:14" ht="21.75">
      <c r="A5" s="205"/>
      <c r="B5" s="204"/>
      <c r="C5" s="185"/>
      <c r="D5" s="185"/>
      <c r="E5" s="186" t="s">
        <v>907</v>
      </c>
      <c r="F5" s="187" t="s">
        <v>908</v>
      </c>
      <c r="G5" s="188"/>
      <c r="H5" s="187"/>
      <c r="I5" s="188"/>
      <c r="J5" s="189"/>
      <c r="K5" s="188" t="s">
        <v>909</v>
      </c>
      <c r="L5" s="187" t="s">
        <v>910</v>
      </c>
      <c r="M5" s="188"/>
      <c r="N5" s="185"/>
    </row>
    <row r="6" spans="1:14" ht="21.75">
      <c r="A6" s="215" t="s">
        <v>911</v>
      </c>
      <c r="B6" s="454"/>
      <c r="C6" s="765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25"/>
    </row>
    <row r="7" spans="1:14" ht="19.5" customHeight="1">
      <c r="A7" s="217"/>
      <c r="B7" s="475" t="s">
        <v>1246</v>
      </c>
      <c r="C7" s="536">
        <f>2341840</f>
        <v>2341840</v>
      </c>
      <c r="D7" s="397">
        <f>SUM(E7:N7)</f>
        <v>2324940</v>
      </c>
      <c r="E7" s="403">
        <v>2324940</v>
      </c>
      <c r="F7" s="397"/>
      <c r="G7" s="397"/>
      <c r="H7" s="397"/>
      <c r="I7" s="397"/>
      <c r="J7" s="397"/>
      <c r="K7" s="397"/>
      <c r="L7" s="397"/>
      <c r="M7" s="397"/>
      <c r="N7" s="397"/>
    </row>
    <row r="8" spans="1:14" ht="22.5" customHeight="1">
      <c r="A8" s="217"/>
      <c r="B8" s="475" t="s">
        <v>1247</v>
      </c>
      <c r="C8" s="536">
        <f>1548000+149000+144000+576000</f>
        <v>2417000</v>
      </c>
      <c r="D8" s="397">
        <f>SUM(E8:N8)</f>
        <v>2226611</v>
      </c>
      <c r="E8" s="403">
        <v>1442800</v>
      </c>
      <c r="F8" s="397"/>
      <c r="G8" s="397">
        <v>140400</v>
      </c>
      <c r="H8" s="397"/>
      <c r="I8" s="397">
        <v>92371</v>
      </c>
      <c r="J8" s="397">
        <v>551040</v>
      </c>
      <c r="K8" s="397"/>
      <c r="L8" s="397"/>
      <c r="M8" s="397"/>
      <c r="N8" s="397"/>
    </row>
    <row r="9" spans="1:14" ht="18" customHeight="1">
      <c r="A9" s="217"/>
      <c r="B9" s="476" t="s">
        <v>1167</v>
      </c>
      <c r="C9" s="537">
        <f>127000</f>
        <v>127000</v>
      </c>
      <c r="D9" s="397">
        <f aca="true" t="shared" si="0" ref="D9:D17">SUM(E9:N9)</f>
        <v>124140</v>
      </c>
      <c r="E9" s="400">
        <v>124140</v>
      </c>
      <c r="F9" s="398"/>
      <c r="G9" s="398"/>
      <c r="H9" s="399"/>
      <c r="I9" s="399"/>
      <c r="J9" s="399"/>
      <c r="K9" s="398"/>
      <c r="L9" s="398"/>
      <c r="M9" s="398"/>
      <c r="N9" s="398"/>
    </row>
    <row r="10" spans="1:14" ht="18" customHeight="1">
      <c r="A10" s="217"/>
      <c r="B10" s="476" t="s">
        <v>1145</v>
      </c>
      <c r="C10" s="537">
        <f>316500+24500+110000</f>
        <v>451000</v>
      </c>
      <c r="D10" s="397">
        <f t="shared" si="0"/>
        <v>384600</v>
      </c>
      <c r="E10" s="399">
        <f>266580</f>
        <v>266580</v>
      </c>
      <c r="F10" s="399"/>
      <c r="G10" s="399">
        <v>19620</v>
      </c>
      <c r="H10" s="399"/>
      <c r="I10" s="399"/>
      <c r="J10" s="399">
        <v>98400</v>
      </c>
      <c r="K10" s="398"/>
      <c r="L10" s="398"/>
      <c r="M10" s="398"/>
      <c r="N10" s="398"/>
    </row>
    <row r="11" spans="1:14" ht="17.25" customHeight="1">
      <c r="A11" s="217"/>
      <c r="B11" s="476" t="s">
        <v>1146</v>
      </c>
      <c r="C11" s="537">
        <f>1260000+60000+25000+10000+55000+135000</f>
        <v>1545000</v>
      </c>
      <c r="D11" s="397">
        <f>SUM(E11:N11)</f>
        <v>1064814.5</v>
      </c>
      <c r="E11" s="400">
        <f>211090.5+772500</f>
        <v>983590.5</v>
      </c>
      <c r="F11" s="399">
        <v>45800</v>
      </c>
      <c r="G11" s="399">
        <v>6600</v>
      </c>
      <c r="H11" s="399"/>
      <c r="I11" s="399"/>
      <c r="J11" s="399">
        <v>28824</v>
      </c>
      <c r="K11" s="398"/>
      <c r="L11" s="398"/>
      <c r="M11" s="398"/>
      <c r="N11" s="398"/>
    </row>
    <row r="12" spans="1:14" ht="22.5" customHeight="1">
      <c r="A12" s="217"/>
      <c r="B12" s="476" t="s">
        <v>1147</v>
      </c>
      <c r="C12" s="537">
        <f>1745000+225000+557400+30000+80000+835000+244000+655000+145000</f>
        <v>4516400</v>
      </c>
      <c r="D12" s="397">
        <f t="shared" si="0"/>
        <v>2913977.77</v>
      </c>
      <c r="E12" s="399">
        <v>983724.13</v>
      </c>
      <c r="F12" s="400">
        <v>163194</v>
      </c>
      <c r="G12" s="399">
        <f>406658+16800+7800</f>
        <v>431258</v>
      </c>
      <c r="H12" s="399"/>
      <c r="I12" s="399">
        <v>53104</v>
      </c>
      <c r="J12" s="397">
        <v>588527.95</v>
      </c>
      <c r="K12" s="399">
        <v>145300.69</v>
      </c>
      <c r="L12" s="399">
        <v>534294</v>
      </c>
      <c r="M12" s="399">
        <v>14575</v>
      </c>
      <c r="N12" s="398"/>
    </row>
    <row r="13" spans="1:14" ht="21.75">
      <c r="A13" s="217"/>
      <c r="B13" s="476" t="s">
        <v>1148</v>
      </c>
      <c r="C13" s="537">
        <f>420000+165000+1147040+100000+740000</f>
        <v>2572040</v>
      </c>
      <c r="D13" s="397">
        <f t="shared" si="0"/>
        <v>2129831.4</v>
      </c>
      <c r="E13" s="400">
        <v>351472.7</v>
      </c>
      <c r="F13" s="399">
        <v>129649</v>
      </c>
      <c r="G13" s="399">
        <v>1054765.8</v>
      </c>
      <c r="H13" s="399">
        <v>52600</v>
      </c>
      <c r="I13" s="399"/>
      <c r="J13" s="399">
        <f>317343.9+224000</f>
        <v>541343.9</v>
      </c>
      <c r="K13" s="399"/>
      <c r="L13" s="399"/>
      <c r="M13" s="398"/>
      <c r="N13" s="398"/>
    </row>
    <row r="14" spans="1:14" ht="20.25" customHeight="1">
      <c r="A14" s="217"/>
      <c r="B14" s="476" t="s">
        <v>1149</v>
      </c>
      <c r="C14" s="537">
        <f>225000+5000+70000</f>
        <v>300000</v>
      </c>
      <c r="D14" s="397">
        <f t="shared" si="0"/>
        <v>183012.19</v>
      </c>
      <c r="E14" s="400">
        <v>160970.63</v>
      </c>
      <c r="F14" s="399"/>
      <c r="G14" s="399"/>
      <c r="H14" s="399"/>
      <c r="I14" s="399"/>
      <c r="J14" s="399"/>
      <c r="K14" s="399"/>
      <c r="L14" s="399"/>
      <c r="M14" s="399">
        <v>22041.56</v>
      </c>
      <c r="N14" s="398"/>
    </row>
    <row r="15" spans="1:14" ht="19.5" customHeight="1">
      <c r="A15" s="217"/>
      <c r="B15" s="476" t="s">
        <v>1152</v>
      </c>
      <c r="C15" s="537">
        <f>1210160+120000+90000</f>
        <v>1420160</v>
      </c>
      <c r="D15" s="397">
        <f t="shared" si="0"/>
        <v>1412660</v>
      </c>
      <c r="E15" s="399"/>
      <c r="F15" s="399"/>
      <c r="G15" s="399">
        <v>1210160</v>
      </c>
      <c r="H15" s="399">
        <v>120000</v>
      </c>
      <c r="I15" s="399"/>
      <c r="J15" s="399"/>
      <c r="K15" s="399"/>
      <c r="L15" s="399">
        <v>82500</v>
      </c>
      <c r="M15" s="399"/>
      <c r="N15" s="399"/>
    </row>
    <row r="16" spans="1:14" ht="21.75">
      <c r="A16" s="217"/>
      <c r="B16" s="476" t="s">
        <v>181</v>
      </c>
      <c r="C16" s="537">
        <v>30000</v>
      </c>
      <c r="D16" s="397">
        <f t="shared" si="0"/>
        <v>25000</v>
      </c>
      <c r="E16" s="399">
        <v>25000</v>
      </c>
      <c r="F16" s="399"/>
      <c r="G16" s="399"/>
      <c r="H16" s="533"/>
      <c r="I16" s="399"/>
      <c r="J16" s="399"/>
      <c r="K16" s="399"/>
      <c r="L16" s="399"/>
      <c r="M16" s="399"/>
      <c r="N16" s="399"/>
    </row>
    <row r="17" spans="1:14" ht="21.75">
      <c r="A17" s="217"/>
      <c r="B17" s="476" t="s">
        <v>1138</v>
      </c>
      <c r="C17" s="537">
        <v>2474960</v>
      </c>
      <c r="D17" s="397">
        <f t="shared" si="0"/>
        <v>2250870</v>
      </c>
      <c r="E17" s="398"/>
      <c r="F17" s="399"/>
      <c r="G17" s="399"/>
      <c r="H17" s="399"/>
      <c r="I17" s="399"/>
      <c r="J17" s="399"/>
      <c r="K17" s="399"/>
      <c r="L17" s="399"/>
      <c r="M17" s="399"/>
      <c r="N17" s="399">
        <f>2124400+126470</f>
        <v>2250870</v>
      </c>
    </row>
    <row r="18" spans="1:14" ht="21.75">
      <c r="A18" s="217"/>
      <c r="B18" s="476" t="s">
        <v>1150</v>
      </c>
      <c r="C18" s="537">
        <f>263600</f>
        <v>263600</v>
      </c>
      <c r="D18" s="397">
        <f>SUM(E18:N18)</f>
        <v>103600</v>
      </c>
      <c r="E18" s="399">
        <v>103600</v>
      </c>
      <c r="F18" s="399"/>
      <c r="G18" s="399"/>
      <c r="H18" s="399"/>
      <c r="I18" s="399"/>
      <c r="J18" s="399"/>
      <c r="K18" s="399"/>
      <c r="L18" s="399"/>
      <c r="M18" s="399"/>
      <c r="N18" s="399"/>
    </row>
    <row r="19" spans="1:14" ht="21.75">
      <c r="A19" s="217"/>
      <c r="B19" s="476" t="s">
        <v>834</v>
      </c>
      <c r="C19" s="537"/>
      <c r="D19" s="397"/>
      <c r="E19" s="399"/>
      <c r="F19" s="399"/>
      <c r="G19" s="399"/>
      <c r="H19" s="399"/>
      <c r="I19" s="399"/>
      <c r="J19" s="399"/>
      <c r="K19" s="399"/>
      <c r="L19" s="399"/>
      <c r="M19" s="399"/>
      <c r="N19" s="399"/>
    </row>
    <row r="20" spans="1:14" ht="21.75">
      <c r="A20" s="217"/>
      <c r="B20" s="476" t="s">
        <v>390</v>
      </c>
      <c r="C20" s="537">
        <f>840000+504000+197000</f>
        <v>1541000</v>
      </c>
      <c r="D20" s="397">
        <f>SUM(E20:N20)</f>
        <v>1399500</v>
      </c>
      <c r="E20" s="399">
        <v>704000</v>
      </c>
      <c r="F20" s="399"/>
      <c r="G20" s="399"/>
      <c r="H20" s="399"/>
      <c r="I20" s="399"/>
      <c r="J20" s="399">
        <v>501500</v>
      </c>
      <c r="K20" s="399"/>
      <c r="L20" s="399"/>
      <c r="M20" s="399">
        <v>194000</v>
      </c>
      <c r="N20" s="399"/>
    </row>
    <row r="21" spans="1:15" ht="21.75">
      <c r="A21" s="217"/>
      <c r="B21" s="476" t="s">
        <v>824</v>
      </c>
      <c r="C21" s="537"/>
      <c r="D21" s="787"/>
      <c r="E21" s="787"/>
      <c r="F21" s="399"/>
      <c r="G21" s="399"/>
      <c r="H21" s="399"/>
      <c r="I21" s="399"/>
      <c r="J21" s="399"/>
      <c r="K21" s="399"/>
      <c r="L21" s="399"/>
      <c r="M21" s="399"/>
      <c r="N21" s="399"/>
      <c r="O21" s="112"/>
    </row>
    <row r="22" spans="1:14" ht="22.5" thickBot="1">
      <c r="A22" s="480"/>
      <c r="B22" s="477" t="s">
        <v>914</v>
      </c>
      <c r="C22" s="742">
        <f>SUM(C6:C21)</f>
        <v>20000000</v>
      </c>
      <c r="D22" s="535">
        <f>SUM(E22:N22)</f>
        <v>16543556.86</v>
      </c>
      <c r="E22" s="402">
        <f>SUM(E7:E21)</f>
        <v>7470817.96</v>
      </c>
      <c r="F22" s="402">
        <f aca="true" t="shared" si="1" ref="F22:N22">SUM(F7:F21)</f>
        <v>338643</v>
      </c>
      <c r="G22" s="402">
        <f t="shared" si="1"/>
        <v>2862803.8</v>
      </c>
      <c r="H22" s="402">
        <f t="shared" si="1"/>
        <v>172600</v>
      </c>
      <c r="I22" s="402">
        <f t="shared" si="1"/>
        <v>145475</v>
      </c>
      <c r="J22" s="402">
        <f t="shared" si="1"/>
        <v>2309635.85</v>
      </c>
      <c r="K22" s="402">
        <f t="shared" si="1"/>
        <v>145300.69</v>
      </c>
      <c r="L22" s="402">
        <f t="shared" si="1"/>
        <v>616794</v>
      </c>
      <c r="M22" s="402">
        <f t="shared" si="1"/>
        <v>230616.56</v>
      </c>
      <c r="N22" s="402">
        <f t="shared" si="1"/>
        <v>2250870</v>
      </c>
    </row>
    <row r="23" spans="1:14" ht="22.5" thickTop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5" spans="1:13" ht="21.75">
      <c r="A25" s="745" t="s">
        <v>204</v>
      </c>
      <c r="B25" s="746"/>
      <c r="C25" s="755" t="s">
        <v>1131</v>
      </c>
      <c r="D25" s="755" t="s">
        <v>1142</v>
      </c>
      <c r="E25" s="746"/>
      <c r="F25" s="746"/>
      <c r="G25" s="747"/>
      <c r="H25" s="747"/>
      <c r="I25" s="747"/>
      <c r="J25" s="746"/>
      <c r="K25" s="746"/>
      <c r="L25" s="746"/>
      <c r="M25" s="746"/>
    </row>
    <row r="26" spans="1:13" ht="21.75">
      <c r="A26" s="206"/>
      <c r="B26" s="206" t="s">
        <v>205</v>
      </c>
      <c r="C26" s="234">
        <v>435000</v>
      </c>
      <c r="D26" s="743">
        <v>573838.04</v>
      </c>
      <c r="E26" s="223"/>
      <c r="F26" s="223"/>
      <c r="G26" s="744"/>
      <c r="H26" s="223"/>
      <c r="I26" s="223"/>
      <c r="J26" s="223"/>
      <c r="K26" s="223"/>
      <c r="L26" s="223"/>
      <c r="M26" s="223"/>
    </row>
    <row r="27" spans="1:13" ht="21.75">
      <c r="A27" s="207"/>
      <c r="B27" s="764" t="s">
        <v>915</v>
      </c>
      <c r="C27" s="235">
        <v>84500</v>
      </c>
      <c r="D27" s="192">
        <v>120190.87</v>
      </c>
      <c r="E27" s="193"/>
      <c r="F27" s="394"/>
      <c r="G27" s="193"/>
      <c r="H27" s="395"/>
      <c r="I27" s="193"/>
      <c r="J27" s="193"/>
      <c r="K27" s="193"/>
      <c r="L27" s="193"/>
      <c r="M27" s="193"/>
    </row>
    <row r="28" spans="1:13" ht="21.75">
      <c r="A28" s="207"/>
      <c r="B28" s="207" t="s">
        <v>1170</v>
      </c>
      <c r="C28" s="235">
        <v>50000</v>
      </c>
      <c r="D28" s="192">
        <v>104786.7</v>
      </c>
      <c r="E28" s="193"/>
      <c r="F28" s="394"/>
      <c r="G28" s="193"/>
      <c r="H28" s="395"/>
      <c r="I28" s="193"/>
      <c r="J28" s="193"/>
      <c r="K28" s="193"/>
      <c r="L28" s="193"/>
      <c r="M28" s="193"/>
    </row>
    <row r="29" spans="1:13" ht="21.75">
      <c r="A29" s="207"/>
      <c r="B29" s="207" t="s">
        <v>916</v>
      </c>
      <c r="C29" s="235">
        <v>0</v>
      </c>
      <c r="D29" s="192">
        <v>46488</v>
      </c>
      <c r="E29" s="193"/>
      <c r="F29" s="193"/>
      <c r="G29" s="396"/>
      <c r="H29" s="193"/>
      <c r="I29" s="193"/>
      <c r="J29" s="193"/>
      <c r="K29" s="193"/>
      <c r="L29" s="193"/>
      <c r="M29" s="193"/>
    </row>
    <row r="30" spans="1:13" ht="21.75">
      <c r="A30" s="207"/>
      <c r="B30" s="207" t="s">
        <v>207</v>
      </c>
      <c r="C30" s="235">
        <v>166000</v>
      </c>
      <c r="D30" s="192">
        <v>84550</v>
      </c>
      <c r="E30" s="193"/>
      <c r="F30" s="193"/>
      <c r="G30" s="193"/>
      <c r="H30" s="191"/>
      <c r="I30" s="193"/>
      <c r="J30" s="193"/>
      <c r="K30" s="193"/>
      <c r="L30" s="193"/>
      <c r="M30" s="193"/>
    </row>
    <row r="31" spans="1:13" ht="21.75">
      <c r="A31" s="207"/>
      <c r="B31" s="207" t="s">
        <v>917</v>
      </c>
      <c r="C31" s="235">
        <v>0</v>
      </c>
      <c r="D31" s="194">
        <v>0</v>
      </c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3" ht="21.75">
      <c r="A32" s="207"/>
      <c r="B32" s="207" t="s">
        <v>918</v>
      </c>
      <c r="C32" s="236">
        <v>11911500</v>
      </c>
      <c r="D32" s="194">
        <v>14483349.05</v>
      </c>
      <c r="E32" s="193"/>
      <c r="F32" s="193"/>
      <c r="G32" s="193"/>
      <c r="H32" s="193"/>
      <c r="I32" s="193"/>
      <c r="J32" s="193"/>
      <c r="K32" s="193"/>
      <c r="L32" s="193"/>
      <c r="M32" s="193"/>
    </row>
    <row r="33" spans="1:13" ht="21.75">
      <c r="A33" s="207"/>
      <c r="B33" s="207" t="s">
        <v>919</v>
      </c>
      <c r="C33" s="235">
        <v>7353000</v>
      </c>
      <c r="D33" s="192">
        <v>7608859</v>
      </c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13" ht="21.75">
      <c r="A34" s="207"/>
      <c r="B34" s="207" t="s">
        <v>388</v>
      </c>
      <c r="C34" s="236" t="s">
        <v>1126</v>
      </c>
      <c r="D34" s="194" t="s">
        <v>1126</v>
      </c>
      <c r="E34" s="193"/>
      <c r="F34" s="193"/>
      <c r="G34" s="193"/>
      <c r="H34" s="193"/>
      <c r="I34" s="193"/>
      <c r="J34" s="193"/>
      <c r="K34" s="193"/>
      <c r="L34" s="193"/>
      <c r="M34" s="193"/>
    </row>
    <row r="35" spans="1:13" ht="21.75">
      <c r="A35" s="210"/>
      <c r="B35" s="210" t="s">
        <v>389</v>
      </c>
      <c r="C35" s="237"/>
      <c r="D35" s="195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1:13" ht="21.75">
      <c r="A36" s="210"/>
      <c r="B36" s="210" t="s">
        <v>441</v>
      </c>
      <c r="C36" s="237"/>
      <c r="D36" s="195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1:13" ht="21.75">
      <c r="A37" s="748"/>
      <c r="B37" s="748" t="s">
        <v>921</v>
      </c>
      <c r="C37" s="749">
        <f>SUM(C26:C36)</f>
        <v>20000000</v>
      </c>
      <c r="D37" s="750">
        <f>SUM(D26:D36)</f>
        <v>23022061.66</v>
      </c>
      <c r="E37" s="757"/>
      <c r="F37" s="757"/>
      <c r="G37" s="757"/>
      <c r="H37" s="757"/>
      <c r="I37" s="757"/>
      <c r="J37" s="757"/>
      <c r="K37" s="757"/>
      <c r="L37" s="757"/>
      <c r="M37" s="757"/>
    </row>
    <row r="38" spans="1:13" ht="21.75">
      <c r="A38" s="212"/>
      <c r="B38" s="538" t="s">
        <v>922</v>
      </c>
      <c r="C38" s="162"/>
      <c r="D38" s="752">
        <f>D37-D22</f>
        <v>6478504.800000001</v>
      </c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ht="22.5" thickBot="1">
      <c r="A39" s="889"/>
      <c r="B39" s="890"/>
      <c r="C39" s="891"/>
      <c r="D39" s="751"/>
      <c r="E39" s="202"/>
      <c r="F39" s="202"/>
      <c r="G39" s="756"/>
      <c r="H39" s="202"/>
      <c r="I39" s="202"/>
      <c r="J39" s="202"/>
      <c r="K39" s="202"/>
      <c r="L39" s="202"/>
      <c r="M39" s="202"/>
    </row>
    <row r="40" spans="1:13" ht="22.5" thickTop="1">
      <c r="A40" s="213"/>
      <c r="B40" s="199"/>
      <c r="C40" s="203"/>
      <c r="D40" s="201"/>
      <c r="E40" s="202"/>
      <c r="F40" s="202"/>
      <c r="G40" s="201"/>
      <c r="H40" s="201"/>
      <c r="I40" s="201"/>
      <c r="J40" s="201"/>
      <c r="K40" s="201"/>
      <c r="L40" s="201"/>
      <c r="M40" s="201"/>
    </row>
    <row r="41" spans="1:13" ht="21.75">
      <c r="A41" s="213"/>
      <c r="B41" s="199"/>
      <c r="C41" s="203"/>
      <c r="D41" s="201"/>
      <c r="E41" s="202"/>
      <c r="F41" s="202"/>
      <c r="G41" s="201"/>
      <c r="H41" s="201"/>
      <c r="I41" s="201"/>
      <c r="J41" s="201"/>
      <c r="K41" s="201"/>
      <c r="L41" s="201"/>
      <c r="M41" s="201"/>
    </row>
    <row r="42" spans="1:6" ht="22.5">
      <c r="A42" s="213"/>
      <c r="B42" s="138"/>
      <c r="C42" s="136" t="s">
        <v>386</v>
      </c>
      <c r="D42" s="138"/>
      <c r="E42" s="143"/>
      <c r="F42" s="277"/>
    </row>
    <row r="43" spans="1:6" ht="22.5">
      <c r="A43" s="213"/>
      <c r="B43" s="138"/>
      <c r="C43" s="136" t="s">
        <v>387</v>
      </c>
      <c r="D43" s="138"/>
      <c r="E43" s="244"/>
      <c r="F43" s="3"/>
    </row>
    <row r="44" ht="21.75">
      <c r="A44" s="213"/>
    </row>
    <row r="45" spans="1:13" ht="21.75">
      <c r="A45" s="213"/>
      <c r="B45" s="199"/>
      <c r="C45" s="203"/>
      <c r="D45" s="201"/>
      <c r="E45" s="202"/>
      <c r="F45" s="202"/>
      <c r="G45" s="201"/>
      <c r="H45" s="201"/>
      <c r="I45" s="201"/>
      <c r="J45" s="201"/>
      <c r="K45" s="201"/>
      <c r="L45" s="201"/>
      <c r="M45" s="201"/>
    </row>
  </sheetData>
  <sheetProtection/>
  <mergeCells count="4">
    <mergeCell ref="A1:N1"/>
    <mergeCell ref="A2:N2"/>
    <mergeCell ref="A3:N3"/>
    <mergeCell ref="A39:C39"/>
  </mergeCells>
  <printOptions/>
  <pageMargins left="0.51" right="0.21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8" sqref="E8"/>
    </sheetView>
  </sheetViews>
  <sheetFormatPr defaultColWidth="9.140625" defaultRowHeight="21.75"/>
  <cols>
    <col min="1" max="1" width="7.7109375" style="0" customWidth="1"/>
    <col min="2" max="2" width="22.7109375" style="0" customWidth="1"/>
    <col min="3" max="3" width="24.7109375" style="0" customWidth="1"/>
    <col min="4" max="4" width="22.140625" style="0" customWidth="1"/>
    <col min="5" max="5" width="20.57421875" style="0" customWidth="1"/>
    <col min="6" max="6" width="19.421875" style="0" customWidth="1"/>
    <col min="7" max="7" width="21.00390625" style="0" customWidth="1"/>
  </cols>
  <sheetData>
    <row r="1" spans="1:7" ht="21.75">
      <c r="A1" s="849" t="s">
        <v>1153</v>
      </c>
      <c r="B1" s="849"/>
      <c r="C1" s="849"/>
      <c r="D1" s="849"/>
      <c r="E1" s="849"/>
      <c r="F1" s="849"/>
      <c r="G1" s="849"/>
    </row>
    <row r="2" spans="1:7" ht="21.75">
      <c r="A2" s="849" t="s">
        <v>927</v>
      </c>
      <c r="B2" s="849"/>
      <c r="C2" s="849"/>
      <c r="D2" s="849"/>
      <c r="E2" s="849"/>
      <c r="F2" s="849"/>
      <c r="G2" s="849"/>
    </row>
    <row r="3" spans="1:7" ht="21.75">
      <c r="A3" s="848" t="s">
        <v>224</v>
      </c>
      <c r="B3" s="848"/>
      <c r="C3" s="848"/>
      <c r="D3" s="848"/>
      <c r="E3" s="848"/>
      <c r="F3" s="848"/>
      <c r="G3" s="848"/>
    </row>
    <row r="4" spans="1:7" ht="21.75">
      <c r="A4" s="892" t="s">
        <v>1163</v>
      </c>
      <c r="B4" s="893"/>
      <c r="C4" s="167" t="s">
        <v>1131</v>
      </c>
      <c r="D4" s="167" t="s">
        <v>1142</v>
      </c>
      <c r="E4" s="167" t="s">
        <v>928</v>
      </c>
      <c r="F4" s="167" t="s">
        <v>929</v>
      </c>
      <c r="G4" s="167" t="s">
        <v>931</v>
      </c>
    </row>
    <row r="5" spans="1:7" ht="21.75">
      <c r="A5" s="219"/>
      <c r="B5" s="220"/>
      <c r="C5" s="168"/>
      <c r="D5" s="168"/>
      <c r="E5" s="168"/>
      <c r="F5" s="169" t="s">
        <v>930</v>
      </c>
      <c r="G5" s="169"/>
    </row>
    <row r="6" spans="1:7" ht="21.75">
      <c r="A6" s="215" t="s">
        <v>911</v>
      </c>
      <c r="B6" s="216"/>
      <c r="C6" s="172"/>
      <c r="D6" s="170"/>
      <c r="E6" s="170"/>
      <c r="F6" s="170"/>
      <c r="G6" s="170"/>
    </row>
    <row r="7" spans="1:7" ht="21.75">
      <c r="A7" s="428"/>
      <c r="B7" s="218" t="s">
        <v>125</v>
      </c>
      <c r="C7" s="540">
        <f>375600+44000+44000+72000+1806240</f>
        <v>2341840</v>
      </c>
      <c r="D7" s="543">
        <f>SUM(E7:N7)</f>
        <v>2324940</v>
      </c>
      <c r="E7" s="540">
        <f>374700+42090+42090+72000+1794060</f>
        <v>2324940</v>
      </c>
      <c r="F7" s="541"/>
      <c r="G7" s="541"/>
    </row>
    <row r="8" spans="1:7" ht="21.75">
      <c r="A8" s="217"/>
      <c r="B8" s="222" t="s">
        <v>126</v>
      </c>
      <c r="C8" s="540">
        <f>668000+56000+42000+160000+563000+59000</f>
        <v>1548000</v>
      </c>
      <c r="D8" s="543">
        <f aca="true" t="shared" si="0" ref="D8:D22">SUM(E8:N8)</f>
        <v>1442800</v>
      </c>
      <c r="E8" s="540">
        <f>650790+31152+42000</f>
        <v>723942</v>
      </c>
      <c r="F8" s="540">
        <v>123193</v>
      </c>
      <c r="G8" s="540">
        <f>553442+42223</f>
        <v>595665</v>
      </c>
    </row>
    <row r="9" spans="1:7" ht="21.75">
      <c r="A9" s="217"/>
      <c r="B9" s="222" t="s">
        <v>1167</v>
      </c>
      <c r="C9" s="540">
        <f>109000+18000</f>
        <v>127000</v>
      </c>
      <c r="D9" s="543">
        <f t="shared" si="0"/>
        <v>124140</v>
      </c>
      <c r="E9" s="540">
        <f>106140+18000</f>
        <v>124140</v>
      </c>
      <c r="F9" s="540"/>
      <c r="G9" s="540"/>
    </row>
    <row r="10" spans="1:7" ht="21.75">
      <c r="A10" s="217"/>
      <c r="B10" s="222" t="s">
        <v>1145</v>
      </c>
      <c r="C10" s="540">
        <f>69500+27000+150000+70000</f>
        <v>316500</v>
      </c>
      <c r="D10" s="543">
        <f t="shared" si="0"/>
        <v>266580</v>
      </c>
      <c r="E10" s="540">
        <f>68820+24720</f>
        <v>93540</v>
      </c>
      <c r="F10" s="540"/>
      <c r="G10" s="540">
        <f>132570+40470</f>
        <v>173040</v>
      </c>
    </row>
    <row r="11" spans="1:7" ht="21.75">
      <c r="A11" s="217"/>
      <c r="B11" s="222" t="s">
        <v>1146</v>
      </c>
      <c r="C11" s="540">
        <f>810000+80000+20000+70000+40000+40000+35000+10000+15000+15000+15000+10000+20000+25000+15000+40000</f>
        <v>1260000</v>
      </c>
      <c r="D11" s="543">
        <f t="shared" si="0"/>
        <v>983590.5</v>
      </c>
      <c r="E11" s="540">
        <f>37500+37800+8300+42600+1937+4499+772500</f>
        <v>905136</v>
      </c>
      <c r="F11" s="540">
        <f>25875+1840+12000+3874+180</f>
        <v>43769</v>
      </c>
      <c r="G11" s="540">
        <f>840+15000+3350+15495.5</f>
        <v>34685.5</v>
      </c>
    </row>
    <row r="12" spans="1:7" ht="21.75">
      <c r="A12" s="217"/>
      <c r="B12" s="222" t="s">
        <v>1147</v>
      </c>
      <c r="C12" s="540">
        <f>300000+60000+515000+20000+125000+530000+120000+75000</f>
        <v>1745000</v>
      </c>
      <c r="D12" s="543">
        <f t="shared" si="0"/>
        <v>983724.13</v>
      </c>
      <c r="E12" s="540">
        <f>283842+27150+239938</f>
        <v>550930</v>
      </c>
      <c r="F12" s="540">
        <f>7930+57862</f>
        <v>65792</v>
      </c>
      <c r="G12" s="540">
        <f>26200+268719.61+72082.52</f>
        <v>367002.13</v>
      </c>
    </row>
    <row r="13" spans="1:7" ht="21.75">
      <c r="A13" s="217"/>
      <c r="B13" s="222" t="s">
        <v>1148</v>
      </c>
      <c r="C13" s="540">
        <f>100000+10000+15000+20000+10000+90000+10000+10000+30000+40000+30000+5000+5000+45000</f>
        <v>420000</v>
      </c>
      <c r="D13" s="543">
        <f t="shared" si="0"/>
        <v>351472.69999999995</v>
      </c>
      <c r="E13" s="540">
        <f>99647.05+7237+15000+490+87299.3+29610</f>
        <v>239283.35</v>
      </c>
      <c r="F13" s="540">
        <v>37830</v>
      </c>
      <c r="G13" s="540">
        <f>28479.35+1100+44780</f>
        <v>74359.35</v>
      </c>
    </row>
    <row r="14" spans="1:7" ht="21.75">
      <c r="A14" s="217"/>
      <c r="B14" s="222" t="s">
        <v>1149</v>
      </c>
      <c r="C14" s="540">
        <f>130000+20000+20000+45000+10000</f>
        <v>225000</v>
      </c>
      <c r="D14" s="543">
        <f t="shared" si="0"/>
        <v>160970.63</v>
      </c>
      <c r="E14" s="542">
        <f>115363.69+4999.04+10654+29953.9</f>
        <v>160970.63</v>
      </c>
      <c r="F14" s="540"/>
      <c r="G14" s="540"/>
    </row>
    <row r="15" spans="1:7" ht="21.75">
      <c r="A15" s="217"/>
      <c r="B15" s="222" t="s">
        <v>1152</v>
      </c>
      <c r="C15" s="540"/>
      <c r="D15" s="543">
        <f t="shared" si="0"/>
        <v>0</v>
      </c>
      <c r="E15" s="540"/>
      <c r="F15" s="540"/>
      <c r="G15" s="540"/>
    </row>
    <row r="16" spans="1:7" ht="21.75">
      <c r="A16" s="217"/>
      <c r="B16" s="222" t="s">
        <v>181</v>
      </c>
      <c r="C16" s="540">
        <f>30000</f>
        <v>30000</v>
      </c>
      <c r="D16" s="543">
        <f t="shared" si="0"/>
        <v>25000</v>
      </c>
      <c r="E16" s="540">
        <f>25000</f>
        <v>25000</v>
      </c>
      <c r="F16" s="540"/>
      <c r="G16" s="540"/>
    </row>
    <row r="17" spans="1:7" ht="21.75">
      <c r="A17" s="217"/>
      <c r="B17" s="222" t="s">
        <v>1138</v>
      </c>
      <c r="C17" s="540"/>
      <c r="D17" s="543">
        <f t="shared" si="0"/>
        <v>0</v>
      </c>
      <c r="E17" s="540"/>
      <c r="F17" s="540"/>
      <c r="G17" s="540"/>
    </row>
    <row r="18" spans="1:7" ht="21.75">
      <c r="A18" s="217"/>
      <c r="B18" s="222" t="s">
        <v>926</v>
      </c>
      <c r="C18" s="540">
        <f>98000+15600+150000</f>
        <v>263600</v>
      </c>
      <c r="D18" s="543">
        <f t="shared" si="0"/>
        <v>103600</v>
      </c>
      <c r="E18" s="540">
        <v>88000</v>
      </c>
      <c r="F18" s="540"/>
      <c r="G18" s="540">
        <v>15600</v>
      </c>
    </row>
    <row r="19" spans="1:7" ht="21.75">
      <c r="A19" s="217"/>
      <c r="B19" s="222" t="s">
        <v>834</v>
      </c>
      <c r="C19" s="541"/>
      <c r="D19" s="543">
        <f t="shared" si="0"/>
        <v>0</v>
      </c>
      <c r="E19" s="540"/>
      <c r="F19" s="540"/>
      <c r="G19" s="540"/>
    </row>
    <row r="20" spans="1:7" ht="21.75">
      <c r="A20" s="217"/>
      <c r="B20" s="222" t="s">
        <v>1151</v>
      </c>
      <c r="C20" s="540">
        <v>840000</v>
      </c>
      <c r="D20" s="543">
        <f t="shared" si="0"/>
        <v>704000</v>
      </c>
      <c r="E20" s="540">
        <v>704000</v>
      </c>
      <c r="F20" s="540"/>
      <c r="G20" s="540"/>
    </row>
    <row r="21" spans="1:7" ht="21.75">
      <c r="A21" s="217"/>
      <c r="B21" s="222" t="s">
        <v>824</v>
      </c>
      <c r="C21" s="541"/>
      <c r="D21" s="543">
        <f t="shared" si="0"/>
        <v>0</v>
      </c>
      <c r="E21" s="540"/>
      <c r="F21" s="540"/>
      <c r="G21" s="540"/>
    </row>
    <row r="22" spans="1:7" ht="22.5" thickBot="1">
      <c r="A22" s="219"/>
      <c r="B22" s="486" t="s">
        <v>1142</v>
      </c>
      <c r="C22" s="540">
        <f>SUM(C7:C21)</f>
        <v>9116940</v>
      </c>
      <c r="D22" s="544">
        <f t="shared" si="0"/>
        <v>7470817.959999999</v>
      </c>
      <c r="E22" s="540">
        <f>SUM(E7:E21)</f>
        <v>5939881.9799999995</v>
      </c>
      <c r="F22" s="540">
        <f>SUM(F7:F21)</f>
        <v>270584</v>
      </c>
      <c r="G22" s="540">
        <f>SUM(G7:G21)</f>
        <v>1260351.98</v>
      </c>
    </row>
    <row r="23" spans="1:7" ht="22.5" thickTop="1">
      <c r="A23" s="112"/>
      <c r="B23" s="483"/>
      <c r="C23" s="111"/>
      <c r="D23" s="175"/>
      <c r="E23" s="111"/>
      <c r="F23" s="111"/>
      <c r="G23" s="111"/>
    </row>
    <row r="25" spans="2:5" ht="22.5">
      <c r="B25" s="136" t="s">
        <v>153</v>
      </c>
      <c r="D25" s="143"/>
      <c r="E25" s="277"/>
    </row>
    <row r="26" spans="2:5" ht="22.5">
      <c r="B26" s="136" t="s">
        <v>480</v>
      </c>
      <c r="C26" s="138"/>
      <c r="D26" s="244"/>
      <c r="E26" s="3"/>
    </row>
  </sheetData>
  <sheetProtection/>
  <mergeCells count="4">
    <mergeCell ref="A1:G1"/>
    <mergeCell ref="A2:G2"/>
    <mergeCell ref="A3:G3"/>
    <mergeCell ref="A4:B4"/>
  </mergeCells>
  <printOptions/>
  <pageMargins left="0.88" right="0.74" top="0.3" bottom="0.27" header="0.22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F16" sqref="F16"/>
    </sheetView>
  </sheetViews>
  <sheetFormatPr defaultColWidth="9.140625" defaultRowHeight="21.75"/>
  <cols>
    <col min="1" max="1" width="5.7109375" style="0" customWidth="1"/>
    <col min="2" max="2" width="24.00390625" style="0" customWidth="1"/>
    <col min="3" max="3" width="19.57421875" style="0" customWidth="1"/>
    <col min="4" max="4" width="22.7109375" style="0" customWidth="1"/>
    <col min="5" max="5" width="24.421875" style="0" customWidth="1"/>
    <col min="6" max="6" width="20.140625" style="0" customWidth="1"/>
    <col min="7" max="7" width="25.8515625" style="0" customWidth="1"/>
    <col min="8" max="8" width="21.7109375" style="0" customWidth="1"/>
  </cols>
  <sheetData>
    <row r="1" spans="1:8" ht="20.25" customHeight="1">
      <c r="A1" s="849" t="s">
        <v>1153</v>
      </c>
      <c r="B1" s="849"/>
      <c r="C1" s="849"/>
      <c r="D1" s="849"/>
      <c r="E1" s="849"/>
      <c r="F1" s="849"/>
      <c r="G1" s="849"/>
      <c r="H1" s="112"/>
    </row>
    <row r="2" spans="1:8" ht="21.75">
      <c r="A2" s="848" t="s">
        <v>932</v>
      </c>
      <c r="B2" s="848"/>
      <c r="C2" s="848"/>
      <c r="D2" s="848"/>
      <c r="E2" s="848"/>
      <c r="F2" s="848"/>
      <c r="G2" s="848"/>
      <c r="H2" s="112"/>
    </row>
    <row r="3" spans="1:8" ht="21.75">
      <c r="A3" s="848" t="s">
        <v>224</v>
      </c>
      <c r="B3" s="848"/>
      <c r="C3" s="848"/>
      <c r="D3" s="848"/>
      <c r="E3" s="848"/>
      <c r="F3" s="848"/>
      <c r="G3" s="848"/>
      <c r="H3" s="112"/>
    </row>
    <row r="4" spans="1:8" ht="21.75">
      <c r="A4" s="892" t="s">
        <v>1163</v>
      </c>
      <c r="B4" s="893"/>
      <c r="C4" s="167" t="s">
        <v>1131</v>
      </c>
      <c r="D4" s="167" t="s">
        <v>1142</v>
      </c>
      <c r="E4" s="167" t="s">
        <v>933</v>
      </c>
      <c r="F4" s="167" t="s">
        <v>935</v>
      </c>
      <c r="G4" s="167" t="s">
        <v>936</v>
      </c>
      <c r="H4" s="112"/>
    </row>
    <row r="5" spans="1:8" ht="21.75">
      <c r="A5" s="219"/>
      <c r="B5" s="220"/>
      <c r="C5" s="168"/>
      <c r="D5" s="168"/>
      <c r="E5" s="169" t="s">
        <v>934</v>
      </c>
      <c r="F5" s="168"/>
      <c r="G5" s="169" t="s">
        <v>937</v>
      </c>
      <c r="H5" s="112"/>
    </row>
    <row r="6" spans="1:8" ht="21.75">
      <c r="A6" s="215" t="s">
        <v>911</v>
      </c>
      <c r="B6" s="216"/>
      <c r="C6" s="170"/>
      <c r="D6" s="170"/>
      <c r="E6" s="172"/>
      <c r="F6" s="170"/>
      <c r="G6" s="170"/>
      <c r="H6" s="112"/>
    </row>
    <row r="7" spans="1:8" ht="19.5" customHeight="1">
      <c r="A7" s="217"/>
      <c r="B7" s="218" t="s">
        <v>125</v>
      </c>
      <c r="C7" s="172"/>
      <c r="D7" s="174"/>
      <c r="E7" s="172"/>
      <c r="F7" s="170"/>
      <c r="G7" s="172"/>
      <c r="H7" s="112"/>
    </row>
    <row r="8" spans="1:8" ht="18.75" customHeight="1">
      <c r="A8" s="217"/>
      <c r="B8" s="222" t="s">
        <v>126</v>
      </c>
      <c r="C8" s="172"/>
      <c r="D8" s="174"/>
      <c r="E8" s="172"/>
      <c r="F8" s="170"/>
      <c r="G8" s="172"/>
      <c r="H8" s="112"/>
    </row>
    <row r="9" spans="1:8" ht="20.25" customHeight="1">
      <c r="A9" s="217"/>
      <c r="B9" s="222" t="s">
        <v>1167</v>
      </c>
      <c r="C9" s="172"/>
      <c r="D9" s="174"/>
      <c r="E9" s="172"/>
      <c r="F9" s="170"/>
      <c r="G9" s="172"/>
      <c r="H9" s="112"/>
    </row>
    <row r="10" spans="1:8" ht="18.75" customHeight="1">
      <c r="A10" s="217"/>
      <c r="B10" s="222" t="s">
        <v>1145</v>
      </c>
      <c r="C10" s="172"/>
      <c r="D10" s="174"/>
      <c r="E10" s="172"/>
      <c r="F10" s="170"/>
      <c r="G10" s="172"/>
      <c r="H10" s="112"/>
    </row>
    <row r="11" spans="1:8" ht="21.75" customHeight="1">
      <c r="A11" s="217"/>
      <c r="B11" s="222" t="s">
        <v>1146</v>
      </c>
      <c r="C11" s="172">
        <f>60000</f>
        <v>60000</v>
      </c>
      <c r="D11" s="174">
        <f>E11+F11+G11</f>
        <v>45800</v>
      </c>
      <c r="E11" s="172"/>
      <c r="F11" s="170"/>
      <c r="G11" s="172">
        <f>45800</f>
        <v>45800</v>
      </c>
      <c r="H11" s="112"/>
    </row>
    <row r="12" spans="1:8" ht="18.75" customHeight="1">
      <c r="A12" s="217"/>
      <c r="B12" s="222" t="s">
        <v>1147</v>
      </c>
      <c r="C12" s="172">
        <f>110000+115000</f>
        <v>225000</v>
      </c>
      <c r="D12" s="174">
        <f>E12+F12+G12</f>
        <v>163194</v>
      </c>
      <c r="E12" s="172"/>
      <c r="F12" s="170"/>
      <c r="G12" s="172">
        <f>85200+77994</f>
        <v>163194</v>
      </c>
      <c r="H12" s="112"/>
    </row>
    <row r="13" spans="1:8" ht="21.75" customHeight="1">
      <c r="A13" s="217"/>
      <c r="B13" s="222" t="s">
        <v>1148</v>
      </c>
      <c r="C13" s="172">
        <f>35000+50000+70000+10000</f>
        <v>165000</v>
      </c>
      <c r="D13" s="174">
        <f>E13+F13+G13</f>
        <v>129649</v>
      </c>
      <c r="E13" s="172"/>
      <c r="F13" s="170"/>
      <c r="G13" s="172">
        <f>120+49679+70000+9850</f>
        <v>129649</v>
      </c>
      <c r="H13" s="112"/>
    </row>
    <row r="14" spans="1:8" ht="18.75" customHeight="1">
      <c r="A14" s="217"/>
      <c r="B14" s="222" t="s">
        <v>1149</v>
      </c>
      <c r="C14" s="172"/>
      <c r="D14" s="174">
        <f>E14+F14+G14</f>
        <v>0</v>
      </c>
      <c r="E14" s="172"/>
      <c r="F14" s="170"/>
      <c r="G14" s="172"/>
      <c r="H14" s="112"/>
    </row>
    <row r="15" spans="1:8" ht="18.75" customHeight="1">
      <c r="A15" s="217"/>
      <c r="B15" s="222" t="s">
        <v>1152</v>
      </c>
      <c r="C15" s="172"/>
      <c r="D15" s="174">
        <f>E15+F15+G15</f>
        <v>0</v>
      </c>
      <c r="E15" s="172"/>
      <c r="F15" s="170"/>
      <c r="G15" s="172"/>
      <c r="H15" s="112"/>
    </row>
    <row r="16" spans="1:8" ht="20.25" customHeight="1">
      <c r="A16" s="217"/>
      <c r="B16" s="222" t="s">
        <v>181</v>
      </c>
      <c r="C16" s="172"/>
      <c r="D16" s="174"/>
      <c r="E16" s="172"/>
      <c r="F16" s="170"/>
      <c r="G16" s="172"/>
      <c r="H16" s="112"/>
    </row>
    <row r="17" spans="1:8" ht="21.75">
      <c r="A17" s="217"/>
      <c r="B17" s="222" t="s">
        <v>1138</v>
      </c>
      <c r="C17" s="172"/>
      <c r="D17" s="174"/>
      <c r="E17" s="172"/>
      <c r="F17" s="170"/>
      <c r="G17" s="172"/>
      <c r="H17" s="112"/>
    </row>
    <row r="18" spans="1:8" ht="21.75">
      <c r="A18" s="217"/>
      <c r="B18" s="222" t="s">
        <v>926</v>
      </c>
      <c r="C18" s="528"/>
      <c r="D18" s="174"/>
      <c r="E18" s="172"/>
      <c r="F18" s="170"/>
      <c r="G18" s="172"/>
      <c r="H18" s="112"/>
    </row>
    <row r="19" spans="1:8" ht="21.75">
      <c r="A19" s="217"/>
      <c r="B19" s="222" t="s">
        <v>834</v>
      </c>
      <c r="C19" s="528"/>
      <c r="D19" s="174"/>
      <c r="E19" s="172"/>
      <c r="F19" s="170"/>
      <c r="G19" s="172"/>
      <c r="H19" s="112"/>
    </row>
    <row r="20" spans="1:8" ht="21.75">
      <c r="A20" s="217"/>
      <c r="B20" s="222" t="s">
        <v>1151</v>
      </c>
      <c r="C20" s="528"/>
      <c r="D20" s="174"/>
      <c r="E20" s="172"/>
      <c r="F20" s="170"/>
      <c r="G20" s="172"/>
      <c r="H20" s="112"/>
    </row>
    <row r="21" spans="1:8" ht="21.75">
      <c r="A21" s="219"/>
      <c r="B21" s="530" t="s">
        <v>824</v>
      </c>
      <c r="C21" s="528"/>
      <c r="D21" s="174"/>
      <c r="E21" s="172"/>
      <c r="F21" s="170"/>
      <c r="G21" s="172"/>
      <c r="H21" s="112"/>
    </row>
    <row r="22" spans="1:7" ht="22.5" thickBot="1">
      <c r="A22" s="526"/>
      <c r="B22" s="485" t="s">
        <v>1142</v>
      </c>
      <c r="C22" s="529">
        <f>SUM(C7:C21)</f>
        <v>450000</v>
      </c>
      <c r="D22" s="459">
        <f>SUM(D7:D21)</f>
        <v>338643</v>
      </c>
      <c r="E22" s="459">
        <f>SUM(E7:E21)</f>
        <v>0</v>
      </c>
      <c r="F22" s="459"/>
      <c r="G22" s="459">
        <f>SUM(G7:G21)</f>
        <v>338643</v>
      </c>
    </row>
    <row r="23" ht="34.5" customHeight="1" thickTop="1"/>
    <row r="24" spans="2:5" ht="22.5">
      <c r="B24" s="136" t="s">
        <v>153</v>
      </c>
      <c r="C24" s="138"/>
      <c r="D24" s="143"/>
      <c r="E24" s="277"/>
    </row>
    <row r="25" spans="2:5" ht="22.5">
      <c r="B25" s="136" t="s">
        <v>480</v>
      </c>
      <c r="C25" s="138"/>
      <c r="D25" s="244"/>
      <c r="E25" s="3"/>
    </row>
  </sheetData>
  <sheetProtection/>
  <mergeCells count="4">
    <mergeCell ref="A1:G1"/>
    <mergeCell ref="A2:G2"/>
    <mergeCell ref="A3:G3"/>
    <mergeCell ref="A4:B4"/>
  </mergeCells>
  <printOptions/>
  <pageMargins left="0.75" right="0.58" top="0.47" bottom="0.33" header="0.28" footer="0.3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9" sqref="G19"/>
    </sheetView>
  </sheetViews>
  <sheetFormatPr defaultColWidth="9.140625" defaultRowHeight="21.75"/>
  <cols>
    <col min="1" max="1" width="7.140625" style="0" customWidth="1"/>
    <col min="2" max="2" width="20.421875" style="0" customWidth="1"/>
    <col min="3" max="3" width="20.8515625" style="0" customWidth="1"/>
    <col min="4" max="4" width="21.00390625" style="0" customWidth="1"/>
    <col min="5" max="5" width="22.7109375" style="0" customWidth="1"/>
    <col min="6" max="6" width="21.7109375" style="0" customWidth="1"/>
    <col min="7" max="7" width="23.140625" style="0" customWidth="1"/>
  </cols>
  <sheetData>
    <row r="1" spans="1:7" ht="21.75">
      <c r="A1" s="849" t="s">
        <v>1153</v>
      </c>
      <c r="B1" s="849"/>
      <c r="C1" s="849"/>
      <c r="D1" s="849"/>
      <c r="E1" s="849"/>
      <c r="F1" s="849"/>
      <c r="G1" s="849"/>
    </row>
    <row r="2" spans="1:7" ht="21.75">
      <c r="A2" s="849" t="s">
        <v>938</v>
      </c>
      <c r="B2" s="849"/>
      <c r="C2" s="849"/>
      <c r="D2" s="849"/>
      <c r="E2" s="849"/>
      <c r="F2" s="849"/>
      <c r="G2" s="849"/>
    </row>
    <row r="3" spans="1:7" ht="21.75">
      <c r="A3" s="849" t="s">
        <v>224</v>
      </c>
      <c r="B3" s="849"/>
      <c r="C3" s="849"/>
      <c r="D3" s="849"/>
      <c r="E3" s="849"/>
      <c r="F3" s="849"/>
      <c r="G3" s="849"/>
    </row>
    <row r="4" ht="15" customHeight="1"/>
    <row r="5" spans="1:7" ht="21.75">
      <c r="A5" s="221" t="s">
        <v>1163</v>
      </c>
      <c r="B5" s="216"/>
      <c r="C5" s="167" t="s">
        <v>1131</v>
      </c>
      <c r="D5" s="167" t="s">
        <v>1142</v>
      </c>
      <c r="E5" s="167" t="s">
        <v>933</v>
      </c>
      <c r="F5" s="167" t="s">
        <v>939</v>
      </c>
      <c r="G5" s="167" t="s">
        <v>941</v>
      </c>
    </row>
    <row r="6" spans="1:7" ht="21.75">
      <c r="A6" s="219"/>
      <c r="B6" s="220"/>
      <c r="C6" s="168"/>
      <c r="D6" s="168"/>
      <c r="E6" s="169" t="s">
        <v>898</v>
      </c>
      <c r="F6" s="169" t="s">
        <v>940</v>
      </c>
      <c r="G6" s="169"/>
    </row>
    <row r="7" spans="1:7" ht="21.75">
      <c r="A7" s="215" t="s">
        <v>911</v>
      </c>
      <c r="B7" s="216"/>
      <c r="C7" s="170"/>
      <c r="D7" s="170"/>
      <c r="E7" s="170"/>
      <c r="F7" s="170"/>
      <c r="G7" s="172"/>
    </row>
    <row r="8" spans="1:7" ht="21.75">
      <c r="A8" s="217"/>
      <c r="B8" s="218" t="s">
        <v>125</v>
      </c>
      <c r="C8" s="172"/>
      <c r="D8" s="174"/>
      <c r="E8" s="172"/>
      <c r="F8" s="170"/>
      <c r="G8" s="172"/>
    </row>
    <row r="9" spans="1:7" ht="21.75">
      <c r="A9" s="217"/>
      <c r="B9" s="222" t="s">
        <v>126</v>
      </c>
      <c r="C9" s="172">
        <v>149000</v>
      </c>
      <c r="D9" s="174">
        <f aca="true" t="shared" si="0" ref="D9:D21">E9+F9+G9</f>
        <v>140400</v>
      </c>
      <c r="E9" s="172">
        <f>124620+15780</f>
        <v>140400</v>
      </c>
      <c r="F9" s="170"/>
      <c r="G9" s="172"/>
    </row>
    <row r="10" spans="1:7" ht="21.75">
      <c r="A10" s="217"/>
      <c r="B10" s="222" t="s">
        <v>1167</v>
      </c>
      <c r="C10" s="172"/>
      <c r="D10" s="174"/>
      <c r="E10" s="172"/>
      <c r="F10" s="172"/>
      <c r="G10" s="172"/>
    </row>
    <row r="11" spans="1:7" ht="21.75">
      <c r="A11" s="217"/>
      <c r="B11" s="222" t="s">
        <v>1145</v>
      </c>
      <c r="C11" s="172">
        <f>24500</f>
        <v>24500</v>
      </c>
      <c r="D11" s="174">
        <f t="shared" si="0"/>
        <v>19620</v>
      </c>
      <c r="E11" s="172"/>
      <c r="F11" s="172">
        <f>19620</f>
        <v>19620</v>
      </c>
      <c r="G11" s="172"/>
    </row>
    <row r="12" spans="1:7" ht="21.75">
      <c r="A12" s="217"/>
      <c r="B12" s="222" t="s">
        <v>1146</v>
      </c>
      <c r="C12" s="172">
        <f>10000+10000+5000</f>
        <v>25000</v>
      </c>
      <c r="D12" s="481">
        <f t="shared" si="0"/>
        <v>6600</v>
      </c>
      <c r="E12" s="482">
        <f>6600</f>
        <v>6600</v>
      </c>
      <c r="F12" s="482"/>
      <c r="G12" s="172"/>
    </row>
    <row r="13" spans="1:7" ht="21.75">
      <c r="A13" s="217"/>
      <c r="B13" s="222" t="s">
        <v>1147</v>
      </c>
      <c r="C13" s="172">
        <f>15000+20000+10000+512400</f>
        <v>557400</v>
      </c>
      <c r="D13" s="174">
        <f t="shared" si="0"/>
        <v>431258</v>
      </c>
      <c r="E13" s="172">
        <f>3200+4215</f>
        <v>7415</v>
      </c>
      <c r="F13" s="172">
        <f>399243+16800+7800</f>
        <v>423843</v>
      </c>
      <c r="G13" s="172"/>
    </row>
    <row r="14" spans="1:7" ht="21.75">
      <c r="A14" s="217"/>
      <c r="B14" s="222" t="s">
        <v>1148</v>
      </c>
      <c r="C14" s="172">
        <f>10000+922040+215000</f>
        <v>1147040</v>
      </c>
      <c r="D14" s="481">
        <f>E14+F14+G14</f>
        <v>1054765.8</v>
      </c>
      <c r="E14" s="482">
        <v>3210</v>
      </c>
      <c r="F14" s="482">
        <f>866655.8</f>
        <v>866655.8</v>
      </c>
      <c r="G14" s="482">
        <v>184900</v>
      </c>
    </row>
    <row r="15" spans="1:7" ht="21.75">
      <c r="A15" s="217"/>
      <c r="B15" s="222" t="s">
        <v>1149</v>
      </c>
      <c r="C15" s="172"/>
      <c r="D15" s="174">
        <f t="shared" si="0"/>
        <v>0</v>
      </c>
      <c r="E15" s="172"/>
      <c r="F15" s="172"/>
      <c r="G15" s="172"/>
    </row>
    <row r="16" spans="1:7" ht="21.75">
      <c r="A16" s="217"/>
      <c r="B16" s="222" t="s">
        <v>1152</v>
      </c>
      <c r="C16" s="172">
        <v>1210160</v>
      </c>
      <c r="D16" s="174">
        <f t="shared" si="0"/>
        <v>1210160</v>
      </c>
      <c r="E16" s="172"/>
      <c r="F16" s="172">
        <v>1210160</v>
      </c>
      <c r="G16" s="172"/>
    </row>
    <row r="17" spans="1:7" ht="21.75">
      <c r="A17" s="217"/>
      <c r="B17" s="222" t="s">
        <v>181</v>
      </c>
      <c r="C17" s="172"/>
      <c r="D17" s="174"/>
      <c r="E17" s="172"/>
      <c r="F17" s="172"/>
      <c r="G17" s="172"/>
    </row>
    <row r="18" spans="1:7" ht="18" customHeight="1">
      <c r="A18" s="217"/>
      <c r="B18" s="222" t="s">
        <v>1138</v>
      </c>
      <c r="C18" s="172"/>
      <c r="D18" s="174"/>
      <c r="E18" s="172"/>
      <c r="F18" s="172"/>
      <c r="G18" s="172"/>
    </row>
    <row r="19" spans="1:7" ht="18.75" customHeight="1">
      <c r="A19" s="217"/>
      <c r="B19" s="222" t="s">
        <v>926</v>
      </c>
      <c r="C19" s="172"/>
      <c r="D19" s="174">
        <f t="shared" si="0"/>
        <v>0</v>
      </c>
      <c r="E19" s="172"/>
      <c r="F19" s="172"/>
      <c r="G19" s="172"/>
    </row>
    <row r="20" spans="1:7" ht="21.75">
      <c r="A20" s="217"/>
      <c r="B20" s="222" t="s">
        <v>834</v>
      </c>
      <c r="C20" s="172"/>
      <c r="D20" s="174">
        <f t="shared" si="0"/>
        <v>0</v>
      </c>
      <c r="E20" s="172"/>
      <c r="F20" s="172"/>
      <c r="G20" s="172"/>
    </row>
    <row r="21" spans="1:7" ht="21.75">
      <c r="A21" s="217"/>
      <c r="B21" s="222" t="s">
        <v>1151</v>
      </c>
      <c r="C21" s="172"/>
      <c r="D21" s="174">
        <f t="shared" si="0"/>
        <v>0</v>
      </c>
      <c r="E21" s="172"/>
      <c r="F21" s="170"/>
      <c r="G21" s="172"/>
    </row>
    <row r="22" spans="1:7" ht="21.75">
      <c r="A22" s="217"/>
      <c r="B22" s="222" t="s">
        <v>824</v>
      </c>
      <c r="C22" s="172"/>
      <c r="D22" s="174"/>
      <c r="E22" s="172"/>
      <c r="F22" s="172"/>
      <c r="G22" s="172"/>
    </row>
    <row r="23" spans="1:7" ht="21.75">
      <c r="A23" s="219"/>
      <c r="B23" s="486" t="s">
        <v>1142</v>
      </c>
      <c r="C23" s="172">
        <f>SUM(C9:C22)</f>
        <v>3113100</v>
      </c>
      <c r="D23" s="174">
        <f>E23+F23+G23</f>
        <v>2862803.8</v>
      </c>
      <c r="E23" s="172">
        <f>SUM(E9:E22)</f>
        <v>157625</v>
      </c>
      <c r="F23" s="172">
        <f>SUM(F9:F22)</f>
        <v>2520278.8</v>
      </c>
      <c r="G23" s="172">
        <f>SUM(G9:G22)</f>
        <v>184900</v>
      </c>
    </row>
    <row r="24" spans="1:7" ht="21.75">
      <c r="A24" s="112"/>
      <c r="B24" s="483"/>
      <c r="C24" s="111"/>
      <c r="D24" s="175"/>
      <c r="E24" s="111"/>
      <c r="F24" s="111"/>
      <c r="G24" s="111"/>
    </row>
    <row r="26" spans="2:5" ht="22.5">
      <c r="B26" s="136" t="s">
        <v>153</v>
      </c>
      <c r="C26" s="138"/>
      <c r="D26" s="143"/>
      <c r="E26" s="277"/>
    </row>
    <row r="27" spans="2:5" ht="22.5">
      <c r="B27" s="136" t="s">
        <v>480</v>
      </c>
      <c r="C27" s="138"/>
      <c r="D27" s="244"/>
      <c r="E27" s="3"/>
    </row>
  </sheetData>
  <sheetProtection/>
  <mergeCells count="3">
    <mergeCell ref="A1:G1"/>
    <mergeCell ref="A2:G2"/>
    <mergeCell ref="A3:G3"/>
  </mergeCells>
  <printOptions/>
  <pageMargins left="0.75" right="0.73" top="0.45" bottom="0.28" header="0.27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3"/>
    </sheetView>
  </sheetViews>
  <sheetFormatPr defaultColWidth="9.140625" defaultRowHeight="21.75"/>
  <cols>
    <col min="1" max="1" width="6.57421875" style="0" customWidth="1"/>
    <col min="2" max="2" width="24.140625" style="0" customWidth="1"/>
    <col min="3" max="3" width="18.28125" style="0" customWidth="1"/>
    <col min="4" max="4" width="22.28125" style="0" customWidth="1"/>
    <col min="5" max="5" width="21.7109375" style="0" customWidth="1"/>
    <col min="6" max="6" width="21.00390625" style="0" customWidth="1"/>
    <col min="7" max="7" width="25.421875" style="0" customWidth="1"/>
  </cols>
  <sheetData>
    <row r="1" spans="1:7" ht="21.75">
      <c r="A1" s="849" t="s">
        <v>1153</v>
      </c>
      <c r="B1" s="849"/>
      <c r="C1" s="849"/>
      <c r="D1" s="849"/>
      <c r="E1" s="849"/>
      <c r="F1" s="849"/>
      <c r="G1" s="849"/>
    </row>
    <row r="2" spans="1:7" ht="21.75">
      <c r="A2" s="849" t="s">
        <v>874</v>
      </c>
      <c r="B2" s="849"/>
      <c r="C2" s="849"/>
      <c r="D2" s="849"/>
      <c r="E2" s="849"/>
      <c r="F2" s="849"/>
      <c r="G2" s="849"/>
    </row>
    <row r="3" spans="1:7" ht="21.75">
      <c r="A3" s="849" t="s">
        <v>224</v>
      </c>
      <c r="B3" s="849"/>
      <c r="C3" s="849"/>
      <c r="D3" s="849"/>
      <c r="E3" s="849"/>
      <c r="F3" s="849"/>
      <c r="G3" s="849"/>
    </row>
    <row r="4" spans="1:7" ht="25.5" customHeight="1">
      <c r="A4" s="239" t="s">
        <v>1163</v>
      </c>
      <c r="B4" s="240"/>
      <c r="C4" s="167" t="s">
        <v>1131</v>
      </c>
      <c r="D4" s="167" t="s">
        <v>1142</v>
      </c>
      <c r="E4" s="178" t="s">
        <v>933</v>
      </c>
      <c r="F4" s="167" t="s">
        <v>454</v>
      </c>
      <c r="G4" s="167" t="s">
        <v>455</v>
      </c>
    </row>
    <row r="5" spans="1:7" ht="21.75">
      <c r="A5" s="219"/>
      <c r="B5" s="220"/>
      <c r="C5" s="168"/>
      <c r="D5" s="168"/>
      <c r="E5" s="169" t="s">
        <v>453</v>
      </c>
      <c r="F5" s="168"/>
      <c r="G5" s="169" t="s">
        <v>456</v>
      </c>
    </row>
    <row r="6" spans="1:7" ht="24.75" customHeight="1">
      <c r="A6" s="215" t="s">
        <v>911</v>
      </c>
      <c r="B6" s="216"/>
      <c r="C6" s="170"/>
      <c r="D6" s="170"/>
      <c r="E6" s="170"/>
      <c r="F6" s="170"/>
      <c r="G6" s="170"/>
    </row>
    <row r="7" spans="1:7" ht="19.5" customHeight="1">
      <c r="A7" s="217"/>
      <c r="B7" s="218" t="s">
        <v>125</v>
      </c>
      <c r="C7" s="172"/>
      <c r="D7" s="170"/>
      <c r="E7" s="170"/>
      <c r="F7" s="170"/>
      <c r="G7" s="170"/>
    </row>
    <row r="8" spans="1:7" ht="19.5" customHeight="1">
      <c r="A8" s="217"/>
      <c r="B8" s="222" t="s">
        <v>126</v>
      </c>
      <c r="C8" s="172"/>
      <c r="D8" s="172"/>
      <c r="E8" s="170"/>
      <c r="F8" s="170"/>
      <c r="G8" s="170"/>
    </row>
    <row r="9" spans="1:7" ht="19.5" customHeight="1">
      <c r="A9" s="217"/>
      <c r="B9" s="222" t="s">
        <v>1167</v>
      </c>
      <c r="C9" s="172"/>
      <c r="D9" s="172"/>
      <c r="E9" s="170"/>
      <c r="F9" s="170"/>
      <c r="G9" s="170"/>
    </row>
    <row r="10" spans="1:7" ht="17.25" customHeight="1">
      <c r="A10" s="217"/>
      <c r="B10" s="222" t="s">
        <v>1145</v>
      </c>
      <c r="C10" s="172"/>
      <c r="D10" s="172"/>
      <c r="E10" s="170"/>
      <c r="F10" s="170"/>
      <c r="G10" s="172"/>
    </row>
    <row r="11" spans="1:7" ht="20.25" customHeight="1">
      <c r="A11" s="217"/>
      <c r="B11" s="222" t="s">
        <v>1146</v>
      </c>
      <c r="C11" s="172">
        <f>10000</f>
        <v>10000</v>
      </c>
      <c r="D11" s="172">
        <f aca="true" t="shared" si="0" ref="D11:D20">E11+F11+G11</f>
        <v>0</v>
      </c>
      <c r="E11" s="170"/>
      <c r="F11" s="170"/>
      <c r="G11" s="172">
        <v>0</v>
      </c>
    </row>
    <row r="12" spans="1:7" ht="21.75">
      <c r="A12" s="217"/>
      <c r="B12" s="222" t="s">
        <v>1147</v>
      </c>
      <c r="C12" s="172">
        <f>30000</f>
        <v>30000</v>
      </c>
      <c r="D12" s="172">
        <f t="shared" si="0"/>
        <v>0</v>
      </c>
      <c r="E12" s="170"/>
      <c r="F12" s="170"/>
      <c r="G12" s="172">
        <v>0</v>
      </c>
    </row>
    <row r="13" spans="1:7" ht="19.5" customHeight="1">
      <c r="A13" s="217"/>
      <c r="B13" s="222" t="s">
        <v>1148</v>
      </c>
      <c r="C13" s="172">
        <f>20000+80000</f>
        <v>100000</v>
      </c>
      <c r="D13" s="172">
        <f t="shared" si="0"/>
        <v>52600</v>
      </c>
      <c r="E13" s="170"/>
      <c r="F13" s="170"/>
      <c r="G13" s="172">
        <f>50900+1700</f>
        <v>52600</v>
      </c>
    </row>
    <row r="14" spans="1:7" ht="21.75">
      <c r="A14" s="217"/>
      <c r="B14" s="222" t="s">
        <v>1149</v>
      </c>
      <c r="C14" s="172"/>
      <c r="D14" s="172"/>
      <c r="E14" s="170"/>
      <c r="F14" s="170"/>
      <c r="G14" s="172"/>
    </row>
    <row r="15" spans="1:7" ht="21.75">
      <c r="A15" s="217"/>
      <c r="B15" s="222" t="s">
        <v>1152</v>
      </c>
      <c r="C15" s="172">
        <v>120000</v>
      </c>
      <c r="D15" s="172">
        <v>120000</v>
      </c>
      <c r="E15" s="170"/>
      <c r="F15" s="170"/>
      <c r="G15" s="172">
        <v>120000</v>
      </c>
    </row>
    <row r="16" spans="1:7" ht="21.75">
      <c r="A16" s="217"/>
      <c r="B16" s="222" t="s">
        <v>181</v>
      </c>
      <c r="C16" s="172"/>
      <c r="D16" s="172">
        <f t="shared" si="0"/>
        <v>0</v>
      </c>
      <c r="E16" s="170"/>
      <c r="F16" s="170"/>
      <c r="G16" s="172"/>
    </row>
    <row r="17" spans="1:7" ht="19.5" customHeight="1">
      <c r="A17" s="217"/>
      <c r="B17" s="222" t="s">
        <v>1138</v>
      </c>
      <c r="C17" s="172"/>
      <c r="D17" s="172">
        <f t="shared" si="0"/>
        <v>0</v>
      </c>
      <c r="E17" s="170"/>
      <c r="F17" s="170"/>
      <c r="G17" s="172"/>
    </row>
    <row r="18" spans="1:7" ht="20.25" customHeight="1">
      <c r="A18" s="217"/>
      <c r="B18" s="222" t="s">
        <v>926</v>
      </c>
      <c r="C18" s="172"/>
      <c r="D18" s="172">
        <f t="shared" si="0"/>
        <v>0</v>
      </c>
      <c r="E18" s="170"/>
      <c r="F18" s="170"/>
      <c r="G18" s="172"/>
    </row>
    <row r="19" spans="1:7" ht="19.5" customHeight="1">
      <c r="A19" s="217"/>
      <c r="B19" s="222" t="s">
        <v>834</v>
      </c>
      <c r="C19" s="172"/>
      <c r="D19" s="172">
        <f t="shared" si="0"/>
        <v>0</v>
      </c>
      <c r="E19" s="170"/>
      <c r="F19" s="170"/>
      <c r="G19" s="172"/>
    </row>
    <row r="20" spans="1:7" ht="18" customHeight="1">
      <c r="A20" s="217"/>
      <c r="B20" s="222" t="s">
        <v>1151</v>
      </c>
      <c r="C20" s="172"/>
      <c r="D20" s="172">
        <f t="shared" si="0"/>
        <v>0</v>
      </c>
      <c r="E20" s="170"/>
      <c r="F20" s="170"/>
      <c r="G20" s="172"/>
    </row>
    <row r="21" spans="1:7" ht="17.25" customHeight="1">
      <c r="A21" s="217"/>
      <c r="B21" s="222" t="s">
        <v>824</v>
      </c>
      <c r="C21" s="172"/>
      <c r="D21" s="172"/>
      <c r="E21" s="170"/>
      <c r="F21" s="170"/>
      <c r="G21" s="172"/>
    </row>
    <row r="22" spans="1:7" ht="22.5" thickBot="1">
      <c r="A22" s="526"/>
      <c r="B22" s="485" t="s">
        <v>1142</v>
      </c>
      <c r="C22" s="456">
        <f>SUM(C7:C21)</f>
        <v>260000</v>
      </c>
      <c r="D22" s="456">
        <f>E22+F22+G22</f>
        <v>172600</v>
      </c>
      <c r="E22" s="455"/>
      <c r="F22" s="455"/>
      <c r="G22" s="456">
        <f>SUM(G7:G21)</f>
        <v>172600</v>
      </c>
    </row>
    <row r="23" spans="1:7" ht="22.5" thickTop="1">
      <c r="A23" s="112"/>
      <c r="B23" s="483"/>
      <c r="C23" s="111"/>
      <c r="D23" s="111"/>
      <c r="E23" s="112"/>
      <c r="F23" s="112"/>
      <c r="G23" s="111"/>
    </row>
    <row r="24" spans="2:7" ht="21.75">
      <c r="B24" s="483"/>
      <c r="C24" s="111"/>
      <c r="D24" s="111"/>
      <c r="E24" s="112"/>
      <c r="F24" s="112"/>
      <c r="G24" s="111"/>
    </row>
    <row r="25" spans="2:5" ht="22.5">
      <c r="B25" s="136" t="s">
        <v>153</v>
      </c>
      <c r="C25" s="138"/>
      <c r="D25" s="143"/>
      <c r="E25" s="277"/>
    </row>
    <row r="26" spans="2:5" ht="22.5">
      <c r="B26" s="136" t="s">
        <v>480</v>
      </c>
      <c r="C26" s="138"/>
      <c r="D26" s="244"/>
      <c r="E26" s="3"/>
    </row>
    <row r="27" spans="3:7" ht="21.75">
      <c r="C27" s="112"/>
      <c r="D27" s="112"/>
      <c r="E27" s="112"/>
      <c r="F27" s="112"/>
      <c r="G27" s="112"/>
    </row>
    <row r="31" spans="2:5" ht="22.5">
      <c r="B31" s="136" t="s">
        <v>153</v>
      </c>
      <c r="C31" s="138"/>
      <c r="D31" s="143"/>
      <c r="E31" s="277"/>
    </row>
    <row r="32" spans="2:5" ht="22.5">
      <c r="B32" s="136" t="s">
        <v>480</v>
      </c>
      <c r="C32" s="138"/>
      <c r="D32" s="244"/>
      <c r="E32" s="3"/>
    </row>
  </sheetData>
  <sheetProtection/>
  <mergeCells count="3">
    <mergeCell ref="A1:G1"/>
    <mergeCell ref="A2:G2"/>
    <mergeCell ref="A3:G3"/>
  </mergeCells>
  <printOptions/>
  <pageMargins left="0.75" right="0.75" top="0.47" bottom="0.47" header="0.31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8" sqref="F18"/>
    </sheetView>
  </sheetViews>
  <sheetFormatPr defaultColWidth="9.140625" defaultRowHeight="21.75"/>
  <cols>
    <col min="1" max="1" width="8.140625" style="0" customWidth="1"/>
    <col min="2" max="2" width="21.140625" style="0" customWidth="1"/>
    <col min="3" max="3" width="29.00390625" style="0" customWidth="1"/>
    <col min="4" max="4" width="25.8515625" style="0" customWidth="1"/>
    <col min="5" max="5" width="27.421875" style="0" customWidth="1"/>
    <col min="6" max="6" width="27.00390625" style="0" customWidth="1"/>
  </cols>
  <sheetData>
    <row r="1" spans="1:6" ht="21.75">
      <c r="A1" s="849" t="s">
        <v>1153</v>
      </c>
      <c r="B1" s="849"/>
      <c r="C1" s="849"/>
      <c r="D1" s="849"/>
      <c r="E1" s="849"/>
      <c r="F1" s="849"/>
    </row>
    <row r="2" spans="1:6" ht="21.75">
      <c r="A2" s="849" t="s">
        <v>942</v>
      </c>
      <c r="B2" s="849"/>
      <c r="C2" s="849"/>
      <c r="D2" s="849"/>
      <c r="E2" s="849"/>
      <c r="F2" s="849"/>
    </row>
    <row r="3" spans="1:6" ht="21.75">
      <c r="A3" s="849" t="s">
        <v>224</v>
      </c>
      <c r="B3" s="849"/>
      <c r="C3" s="849"/>
      <c r="D3" s="849"/>
      <c r="E3" s="849"/>
      <c r="F3" s="849"/>
    </row>
    <row r="4" spans="1:6" ht="21.75">
      <c r="A4" s="229"/>
      <c r="B4" s="229"/>
      <c r="C4" s="229"/>
      <c r="D4" s="229"/>
      <c r="E4" s="229"/>
      <c r="F4" s="229"/>
    </row>
    <row r="5" spans="1:6" ht="21.75">
      <c r="A5" s="221" t="s">
        <v>1163</v>
      </c>
      <c r="B5" s="216"/>
      <c r="C5" s="167" t="s">
        <v>1131</v>
      </c>
      <c r="D5" s="167" t="s">
        <v>1142</v>
      </c>
      <c r="E5" s="167" t="s">
        <v>933</v>
      </c>
      <c r="F5" s="167" t="s">
        <v>943</v>
      </c>
    </row>
    <row r="6" spans="1:6" ht="21.75">
      <c r="A6" s="219"/>
      <c r="B6" s="220"/>
      <c r="C6" s="169"/>
      <c r="D6" s="169"/>
      <c r="E6" s="169" t="s">
        <v>900</v>
      </c>
      <c r="F6" s="169" t="s">
        <v>900</v>
      </c>
    </row>
    <row r="7" spans="1:6" ht="21.75">
      <c r="A7" s="215" t="s">
        <v>911</v>
      </c>
      <c r="B7" s="216"/>
      <c r="C7" s="170"/>
      <c r="D7" s="170"/>
      <c r="E7" s="170"/>
      <c r="F7" s="170"/>
    </row>
    <row r="8" spans="1:6" ht="21.75">
      <c r="A8" s="217"/>
      <c r="B8" s="218" t="s">
        <v>125</v>
      </c>
      <c r="C8" s="172"/>
      <c r="D8" s="174"/>
      <c r="E8" s="172"/>
      <c r="F8" s="172"/>
    </row>
    <row r="9" spans="1:6" ht="21.75">
      <c r="A9" s="217"/>
      <c r="B9" s="222" t="s">
        <v>126</v>
      </c>
      <c r="C9" s="172">
        <v>144000</v>
      </c>
      <c r="D9" s="174">
        <f>E9+F9</f>
        <v>92371</v>
      </c>
      <c r="E9" s="172">
        <v>92371</v>
      </c>
      <c r="F9" s="172"/>
    </row>
    <row r="10" spans="1:6" ht="20.25" customHeight="1">
      <c r="A10" s="217"/>
      <c r="B10" s="222" t="s">
        <v>1167</v>
      </c>
      <c r="C10" s="172"/>
      <c r="D10" s="174">
        <f>E10+F10</f>
        <v>0</v>
      </c>
      <c r="E10" s="172"/>
      <c r="F10" s="172"/>
    </row>
    <row r="11" spans="1:6" ht="19.5" customHeight="1">
      <c r="A11" s="217"/>
      <c r="B11" s="222" t="s">
        <v>1145</v>
      </c>
      <c r="C11" s="172"/>
      <c r="D11" s="174">
        <f>E11+F11</f>
        <v>0</v>
      </c>
      <c r="E11" s="172"/>
      <c r="F11" s="172"/>
    </row>
    <row r="12" spans="1:6" ht="21.75">
      <c r="A12" s="217"/>
      <c r="B12" s="222" t="s">
        <v>1146</v>
      </c>
      <c r="C12" s="172">
        <f>5000+5000+20000+10000+15000</f>
        <v>55000</v>
      </c>
      <c r="D12" s="481">
        <f>E12+F12</f>
        <v>0</v>
      </c>
      <c r="E12" s="482"/>
      <c r="F12" s="172"/>
    </row>
    <row r="13" spans="1:6" ht="18.75" customHeight="1">
      <c r="A13" s="217"/>
      <c r="B13" s="222" t="s">
        <v>1147</v>
      </c>
      <c r="C13" s="172">
        <f>15000+15000+50000</f>
        <v>80000</v>
      </c>
      <c r="D13" s="174">
        <f>E13+F13</f>
        <v>53104</v>
      </c>
      <c r="E13" s="172">
        <f>2000+1104</f>
        <v>3104</v>
      </c>
      <c r="F13" s="172">
        <f>50000</f>
        <v>50000</v>
      </c>
    </row>
    <row r="14" spans="1:6" ht="19.5" customHeight="1">
      <c r="A14" s="217"/>
      <c r="B14" s="222" t="s">
        <v>1148</v>
      </c>
      <c r="C14" s="172"/>
      <c r="D14" s="174"/>
      <c r="E14" s="172"/>
      <c r="F14" s="172"/>
    </row>
    <row r="15" spans="1:6" ht="18.75" customHeight="1">
      <c r="A15" s="217"/>
      <c r="B15" s="222" t="s">
        <v>1149</v>
      </c>
      <c r="C15" s="172"/>
      <c r="D15" s="174"/>
      <c r="E15" s="172"/>
      <c r="F15" s="172"/>
    </row>
    <row r="16" spans="1:6" ht="17.25" customHeight="1">
      <c r="A16" s="217"/>
      <c r="B16" s="222" t="s">
        <v>1152</v>
      </c>
      <c r="C16" s="172"/>
      <c r="D16" s="174"/>
      <c r="E16" s="172"/>
      <c r="F16" s="172"/>
    </row>
    <row r="17" spans="1:6" ht="19.5" customHeight="1">
      <c r="A17" s="217"/>
      <c r="B17" s="222" t="s">
        <v>181</v>
      </c>
      <c r="C17" s="172"/>
      <c r="D17" s="174"/>
      <c r="E17" s="172"/>
      <c r="F17" s="172"/>
    </row>
    <row r="18" spans="1:6" ht="18.75" customHeight="1">
      <c r="A18" s="217"/>
      <c r="B18" s="222" t="s">
        <v>1138</v>
      </c>
      <c r="C18" s="172"/>
      <c r="D18" s="174"/>
      <c r="E18" s="172"/>
      <c r="F18" s="172"/>
    </row>
    <row r="19" spans="1:6" ht="18.75" customHeight="1">
      <c r="A19" s="217"/>
      <c r="B19" s="222" t="s">
        <v>926</v>
      </c>
      <c r="C19" s="172"/>
      <c r="D19" s="174"/>
      <c r="E19" s="172"/>
      <c r="F19" s="172"/>
    </row>
    <row r="20" spans="1:6" ht="19.5" customHeight="1">
      <c r="A20" s="217"/>
      <c r="B20" s="222" t="s">
        <v>834</v>
      </c>
      <c r="C20" s="172"/>
      <c r="D20" s="174"/>
      <c r="E20" s="172"/>
      <c r="F20" s="172"/>
    </row>
    <row r="21" spans="1:6" ht="20.25" customHeight="1">
      <c r="A21" s="217"/>
      <c r="B21" s="222" t="s">
        <v>1151</v>
      </c>
      <c r="C21" s="172"/>
      <c r="D21" s="174"/>
      <c r="E21" s="172"/>
      <c r="F21" s="172"/>
    </row>
    <row r="22" spans="1:6" ht="21.75">
      <c r="A22" s="217"/>
      <c r="B22" s="222" t="s">
        <v>824</v>
      </c>
      <c r="C22" s="172"/>
      <c r="D22" s="479"/>
      <c r="E22" s="484"/>
      <c r="F22" s="484"/>
    </row>
    <row r="23" spans="1:6" ht="22.5" thickBot="1">
      <c r="A23" s="526"/>
      <c r="B23" s="527" t="s">
        <v>1142</v>
      </c>
      <c r="C23" s="456">
        <f>SUM(C7:C21)</f>
        <v>279000</v>
      </c>
      <c r="D23" s="459">
        <f>E23+F23</f>
        <v>145475</v>
      </c>
      <c r="E23" s="456">
        <f>SUM(E8:E21)</f>
        <v>95475</v>
      </c>
      <c r="F23" s="456">
        <f>SUM(F8:F21)</f>
        <v>50000</v>
      </c>
    </row>
    <row r="24" spans="1:6" ht="22.5" thickTop="1">
      <c r="A24" s="112"/>
      <c r="B24" s="487"/>
      <c r="C24" s="111"/>
      <c r="D24" s="175"/>
      <c r="E24" s="111"/>
      <c r="F24" s="111"/>
    </row>
    <row r="25" spans="2:6" ht="27.75" customHeight="1">
      <c r="B25" s="483"/>
      <c r="C25" s="111"/>
      <c r="D25" s="175"/>
      <c r="E25" s="111"/>
      <c r="F25" s="111"/>
    </row>
    <row r="26" spans="2:5" ht="22.5">
      <c r="B26" s="136" t="s">
        <v>980</v>
      </c>
      <c r="C26" s="138"/>
      <c r="D26" s="143"/>
      <c r="E26" s="277"/>
    </row>
    <row r="27" spans="2:5" ht="22.5">
      <c r="B27" s="136" t="s">
        <v>981</v>
      </c>
      <c r="C27" s="138"/>
      <c r="D27" s="244"/>
      <c r="E27" s="3"/>
    </row>
    <row r="28" spans="2:5" ht="22.5">
      <c r="B28" s="136"/>
      <c r="C28" s="138"/>
      <c r="D28" s="143"/>
      <c r="E28" s="277"/>
    </row>
    <row r="29" spans="2:5" ht="22.5">
      <c r="B29" s="136"/>
      <c r="C29" s="138"/>
      <c r="D29" s="244"/>
      <c r="E29" s="3"/>
    </row>
  </sheetData>
  <sheetProtection/>
  <mergeCells count="3">
    <mergeCell ref="A1:F1"/>
    <mergeCell ref="A2:F2"/>
    <mergeCell ref="A3:F3"/>
  </mergeCells>
  <printOptions/>
  <pageMargins left="0.89" right="0.75" top="0.27" bottom="0.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3"/>
  <sheetViews>
    <sheetView view="pageBreakPreview" zoomScaleSheetLayoutView="100" zoomScalePageLayoutView="0" workbookViewId="0" topLeftCell="A1">
      <selection activeCell="J63" sqref="J63"/>
    </sheetView>
  </sheetViews>
  <sheetFormatPr defaultColWidth="9.140625" defaultRowHeight="21.75"/>
  <cols>
    <col min="2" max="2" width="5.57421875" style="0" customWidth="1"/>
    <col min="3" max="3" width="29.57421875" style="0" customWidth="1"/>
    <col min="4" max="4" width="13.7109375" style="0" customWidth="1"/>
    <col min="5" max="5" width="14.140625" style="0" customWidth="1"/>
    <col min="6" max="6" width="6.8515625" style="0" customWidth="1"/>
    <col min="7" max="7" width="12.7109375" style="0" customWidth="1"/>
    <col min="8" max="8" width="12.140625" style="0" customWidth="1"/>
    <col min="9" max="9" width="12.00390625" style="0" customWidth="1"/>
  </cols>
  <sheetData>
    <row r="1" spans="1:8" ht="21.75">
      <c r="A1" s="812" t="s">
        <v>1169</v>
      </c>
      <c r="B1" s="812"/>
      <c r="C1" s="812"/>
      <c r="D1" s="812"/>
      <c r="E1" s="812"/>
      <c r="F1" s="812"/>
      <c r="G1" s="812"/>
      <c r="H1" s="812"/>
    </row>
    <row r="2" spans="1:8" ht="21.75">
      <c r="A2" s="812" t="s">
        <v>363</v>
      </c>
      <c r="B2" s="812"/>
      <c r="C2" s="812"/>
      <c r="D2" s="812"/>
      <c r="E2" s="812"/>
      <c r="F2" s="812"/>
      <c r="G2" s="812"/>
      <c r="H2" s="812"/>
    </row>
    <row r="3" spans="1:8" ht="21.75">
      <c r="A3" s="813" t="s">
        <v>97</v>
      </c>
      <c r="B3" s="813"/>
      <c r="C3" s="813"/>
      <c r="D3" s="813"/>
      <c r="E3" s="813"/>
      <c r="F3" s="813"/>
      <c r="G3" s="813"/>
      <c r="H3" s="813"/>
    </row>
    <row r="4" spans="1:8" ht="18.75" customHeight="1">
      <c r="A4" s="257"/>
      <c r="B4" s="257"/>
      <c r="C4" s="257"/>
      <c r="D4" s="814" t="s">
        <v>1131</v>
      </c>
      <c r="E4" s="814" t="s">
        <v>1132</v>
      </c>
      <c r="F4" s="258" t="s">
        <v>1133</v>
      </c>
      <c r="G4" s="12" t="s">
        <v>1134</v>
      </c>
      <c r="H4" s="814" t="s">
        <v>1176</v>
      </c>
    </row>
    <row r="5" spans="1:8" ht="17.25" customHeight="1">
      <c r="A5" s="257"/>
      <c r="B5" s="257"/>
      <c r="C5" s="257"/>
      <c r="D5" s="815"/>
      <c r="E5" s="815"/>
      <c r="F5" s="20" t="s">
        <v>1126</v>
      </c>
      <c r="G5" s="261" t="s">
        <v>1135</v>
      </c>
      <c r="H5" s="815"/>
    </row>
    <row r="6" spans="1:8" ht="21.75">
      <c r="A6" s="40" t="s">
        <v>364</v>
      </c>
      <c r="B6" s="39"/>
      <c r="C6" s="260"/>
      <c r="D6" s="22"/>
      <c r="E6" s="12"/>
      <c r="F6" s="23"/>
      <c r="G6" s="12"/>
      <c r="H6" s="12"/>
    </row>
    <row r="7" spans="1:8" ht="21.75">
      <c r="A7" s="90"/>
      <c r="B7" s="4" t="s">
        <v>365</v>
      </c>
      <c r="C7" s="4"/>
      <c r="D7" s="24"/>
      <c r="E7" s="25"/>
      <c r="F7" s="26"/>
      <c r="G7" s="25"/>
      <c r="H7" s="25"/>
    </row>
    <row r="8" spans="1:8" ht="21.75">
      <c r="A8" s="262" t="s">
        <v>366</v>
      </c>
      <c r="B8" s="56" t="s">
        <v>367</v>
      </c>
      <c r="C8" s="56"/>
      <c r="D8" s="263"/>
      <c r="E8" s="264"/>
      <c r="F8" s="265"/>
      <c r="G8" s="266"/>
      <c r="H8" s="266"/>
    </row>
    <row r="9" spans="1:8" ht="21.75">
      <c r="A9" s="90"/>
      <c r="B9" s="90" t="s">
        <v>1155</v>
      </c>
      <c r="C9" s="90" t="s">
        <v>368</v>
      </c>
      <c r="D9" s="267">
        <v>360000</v>
      </c>
      <c r="E9" s="267">
        <v>485106</v>
      </c>
      <c r="F9" s="265" t="s">
        <v>1133</v>
      </c>
      <c r="G9" s="266">
        <f>E9-D9</f>
        <v>125106</v>
      </c>
      <c r="H9" s="266"/>
    </row>
    <row r="10" spans="1:8" ht="21.75">
      <c r="A10" s="90"/>
      <c r="B10" s="89" t="s">
        <v>1156</v>
      </c>
      <c r="C10" s="90" t="s">
        <v>546</v>
      </c>
      <c r="D10" s="267">
        <v>35000</v>
      </c>
      <c r="E10" s="267">
        <v>36967.04</v>
      </c>
      <c r="F10" s="265" t="s">
        <v>1133</v>
      </c>
      <c r="G10" s="266">
        <f>E10-D10</f>
        <v>1967.0400000000009</v>
      </c>
      <c r="H10" s="266"/>
    </row>
    <row r="11" spans="1:8" ht="21.75">
      <c r="A11" s="90"/>
      <c r="B11" s="89" t="s">
        <v>1157</v>
      </c>
      <c r="C11" s="90" t="s">
        <v>369</v>
      </c>
      <c r="D11" s="268">
        <v>40000</v>
      </c>
      <c r="E11" s="268">
        <v>51765</v>
      </c>
      <c r="F11" s="261" t="s">
        <v>1133</v>
      </c>
      <c r="G11" s="266">
        <f>E11-D11</f>
        <v>11765</v>
      </c>
      <c r="H11" s="266"/>
    </row>
    <row r="12" spans="1:8" ht="22.5" thickBot="1">
      <c r="A12" s="818" t="s">
        <v>1142</v>
      </c>
      <c r="B12" s="818"/>
      <c r="C12" s="818"/>
      <c r="D12" s="269">
        <f>SUM(D9:D11)</f>
        <v>435000</v>
      </c>
      <c r="E12" s="269">
        <f>SUM(E9:E11)</f>
        <v>573838.04</v>
      </c>
      <c r="F12" s="498" t="s">
        <v>1133</v>
      </c>
      <c r="G12" s="270">
        <f>E12-D12</f>
        <v>138838.04000000004</v>
      </c>
      <c r="H12" s="270"/>
    </row>
    <row r="13" spans="1:8" ht="22.5" thickTop="1">
      <c r="A13" s="90"/>
      <c r="B13" s="4" t="s">
        <v>370</v>
      </c>
      <c r="C13" s="4"/>
      <c r="D13" s="24"/>
      <c r="E13" s="267"/>
      <c r="F13" s="23"/>
      <c r="G13" s="266"/>
      <c r="H13" s="266"/>
    </row>
    <row r="14" spans="1:8" ht="21.75">
      <c r="A14" s="90"/>
      <c r="B14" s="90" t="s">
        <v>1155</v>
      </c>
      <c r="C14" s="90" t="s">
        <v>371</v>
      </c>
      <c r="D14" s="267">
        <v>4900000</v>
      </c>
      <c r="E14" s="267">
        <v>5396836.03</v>
      </c>
      <c r="F14" s="265" t="s">
        <v>1133</v>
      </c>
      <c r="G14" s="266">
        <f>E14-D14</f>
        <v>496836.03000000026</v>
      </c>
      <c r="H14" s="266"/>
    </row>
    <row r="15" spans="1:8" ht="21.75">
      <c r="A15" s="90"/>
      <c r="B15" s="89" t="s">
        <v>1156</v>
      </c>
      <c r="C15" s="90" t="s">
        <v>476</v>
      </c>
      <c r="D15" s="267">
        <v>1900000</v>
      </c>
      <c r="E15" s="267">
        <v>2412296.2</v>
      </c>
      <c r="F15" s="265" t="s">
        <v>1133</v>
      </c>
      <c r="G15" s="266">
        <f aca="true" t="shared" si="0" ref="G15:G23">E15-D15</f>
        <v>512296.2000000002</v>
      </c>
      <c r="H15" s="266"/>
    </row>
    <row r="16" spans="1:8" ht="21.75">
      <c r="A16" s="90"/>
      <c r="B16" s="89"/>
      <c r="C16" s="90" t="s">
        <v>372</v>
      </c>
      <c r="D16" s="267">
        <v>15000</v>
      </c>
      <c r="E16" s="267">
        <v>81352.36</v>
      </c>
      <c r="F16" s="265" t="s">
        <v>1133</v>
      </c>
      <c r="G16" s="266">
        <f t="shared" si="0"/>
        <v>66352.36</v>
      </c>
      <c r="H16" s="266"/>
    </row>
    <row r="17" spans="1:8" ht="21.75">
      <c r="A17" s="90"/>
      <c r="B17" s="89" t="s">
        <v>1157</v>
      </c>
      <c r="C17" s="90" t="s">
        <v>373</v>
      </c>
      <c r="D17" s="267">
        <v>1000000</v>
      </c>
      <c r="E17" s="267">
        <v>1247141.12</v>
      </c>
      <c r="F17" s="265" t="s">
        <v>1133</v>
      </c>
      <c r="G17" s="266">
        <f t="shared" si="0"/>
        <v>247141.1200000001</v>
      </c>
      <c r="H17" s="266"/>
    </row>
    <row r="18" spans="1:8" ht="21.75">
      <c r="A18" s="90"/>
      <c r="B18" s="89" t="s">
        <v>1158</v>
      </c>
      <c r="C18" s="90" t="s">
        <v>374</v>
      </c>
      <c r="D18" s="267">
        <v>2900000</v>
      </c>
      <c r="E18" s="267">
        <v>3005428.87</v>
      </c>
      <c r="F18" s="265" t="s">
        <v>1133</v>
      </c>
      <c r="G18" s="266">
        <f t="shared" si="0"/>
        <v>105428.87000000011</v>
      </c>
      <c r="H18" s="266"/>
    </row>
    <row r="19" spans="1:8" ht="21.75">
      <c r="A19" s="90"/>
      <c r="B19" s="89" t="s">
        <v>1159</v>
      </c>
      <c r="C19" s="90" t="s">
        <v>375</v>
      </c>
      <c r="D19" s="267">
        <v>82000</v>
      </c>
      <c r="E19" s="267">
        <v>144354.04</v>
      </c>
      <c r="F19" s="265" t="s">
        <v>1133</v>
      </c>
      <c r="G19" s="266">
        <f t="shared" si="0"/>
        <v>62354.04000000001</v>
      </c>
      <c r="H19" s="266"/>
    </row>
    <row r="20" spans="1:8" ht="21.75">
      <c r="A20" s="90"/>
      <c r="B20" s="89" t="s">
        <v>1160</v>
      </c>
      <c r="C20" s="90" t="s">
        <v>376</v>
      </c>
      <c r="D20" s="267">
        <v>59000</v>
      </c>
      <c r="E20" s="267">
        <v>68366.43</v>
      </c>
      <c r="F20" s="265" t="s">
        <v>1133</v>
      </c>
      <c r="G20" s="266">
        <f t="shared" si="0"/>
        <v>9366.429999999993</v>
      </c>
      <c r="H20" s="266"/>
    </row>
    <row r="21" spans="1:8" ht="21.75">
      <c r="A21" s="90"/>
      <c r="B21" s="89" t="s">
        <v>1162</v>
      </c>
      <c r="C21" s="318" t="s">
        <v>377</v>
      </c>
      <c r="D21" s="267">
        <v>1055500</v>
      </c>
      <c r="E21" s="267">
        <v>2127574</v>
      </c>
      <c r="F21" s="265" t="s">
        <v>1133</v>
      </c>
      <c r="G21" s="266">
        <f t="shared" si="0"/>
        <v>1072074</v>
      </c>
      <c r="H21" s="266"/>
    </row>
    <row r="22" spans="1:8" ht="21.75">
      <c r="A22" s="90"/>
      <c r="B22" s="89"/>
      <c r="C22" s="318"/>
      <c r="D22" s="267"/>
      <c r="E22" s="267"/>
      <c r="F22" s="265"/>
      <c r="G22" s="266"/>
      <c r="H22" s="266"/>
    </row>
    <row r="23" spans="1:10" ht="22.5" thickBot="1">
      <c r="A23" s="789" t="s">
        <v>1142</v>
      </c>
      <c r="B23" s="789"/>
      <c r="C23" s="790"/>
      <c r="D23" s="269">
        <f>SUM(D14:D22)</f>
        <v>11911500</v>
      </c>
      <c r="E23" s="269">
        <f>SUM(E14:E22)</f>
        <v>14483349.05</v>
      </c>
      <c r="F23" s="498" t="s">
        <v>1133</v>
      </c>
      <c r="G23" s="270">
        <f t="shared" si="0"/>
        <v>2571849.0500000007</v>
      </c>
      <c r="H23" s="271"/>
      <c r="J23" s="59"/>
    </row>
    <row r="24" spans="1:8" ht="22.5" thickTop="1">
      <c r="A24" s="40" t="s">
        <v>378</v>
      </c>
      <c r="B24" s="39"/>
      <c r="C24" s="260"/>
      <c r="D24" s="272"/>
      <c r="E24" s="273"/>
      <c r="F24" s="23"/>
      <c r="G24" s="266">
        <f>D24-E24</f>
        <v>0</v>
      </c>
      <c r="H24" s="266"/>
    </row>
    <row r="25" spans="1:8" ht="21.75">
      <c r="A25" s="262" t="s">
        <v>379</v>
      </c>
      <c r="B25" s="56" t="s">
        <v>380</v>
      </c>
      <c r="C25" s="56"/>
      <c r="D25" s="24"/>
      <c r="E25" s="267"/>
      <c r="F25" s="23"/>
      <c r="G25" s="266">
        <f>D25-E25</f>
        <v>0</v>
      </c>
      <c r="H25" s="266"/>
    </row>
    <row r="26" spans="1:8" ht="21.75">
      <c r="A26" s="90"/>
      <c r="B26" s="90" t="s">
        <v>1155</v>
      </c>
      <c r="C26" s="514" t="s">
        <v>1229</v>
      </c>
      <c r="D26" s="296">
        <v>1000</v>
      </c>
      <c r="E26" s="267"/>
      <c r="F26" s="265" t="s">
        <v>1234</v>
      </c>
      <c r="G26" s="266">
        <v>1000</v>
      </c>
      <c r="H26" s="266"/>
    </row>
    <row r="27" spans="1:8" ht="21.75">
      <c r="A27" s="90"/>
      <c r="B27" s="89" t="s">
        <v>1156</v>
      </c>
      <c r="C27" s="90" t="s">
        <v>381</v>
      </c>
      <c r="D27" s="267">
        <v>0</v>
      </c>
      <c r="E27" s="267">
        <v>0</v>
      </c>
      <c r="F27" s="265" t="s">
        <v>1126</v>
      </c>
      <c r="G27" s="266">
        <f>E27-D27</f>
        <v>0</v>
      </c>
      <c r="H27" s="266"/>
    </row>
    <row r="28" spans="1:8" ht="21.75">
      <c r="A28" s="90"/>
      <c r="B28" s="89" t="s">
        <v>1157</v>
      </c>
      <c r="C28" s="90" t="s">
        <v>382</v>
      </c>
      <c r="D28" s="267">
        <v>60000</v>
      </c>
      <c r="E28" s="267">
        <v>81460</v>
      </c>
      <c r="F28" s="265" t="s">
        <v>1133</v>
      </c>
      <c r="G28" s="266">
        <f>E28-D28</f>
        <v>21460</v>
      </c>
      <c r="H28" s="266"/>
    </row>
    <row r="29" spans="1:8" ht="21.75">
      <c r="A29" s="90"/>
      <c r="B29" s="89" t="s">
        <v>1158</v>
      </c>
      <c r="C29" s="90" t="s">
        <v>383</v>
      </c>
      <c r="D29" s="267">
        <v>5000</v>
      </c>
      <c r="E29" s="267">
        <v>9500</v>
      </c>
      <c r="F29" s="265" t="s">
        <v>1133</v>
      </c>
      <c r="G29" s="266">
        <f>E29-D29</f>
        <v>4500</v>
      </c>
      <c r="H29" s="266"/>
    </row>
    <row r="30" spans="1:8" ht="21.75">
      <c r="A30" s="283"/>
      <c r="B30" s="325" t="s">
        <v>182</v>
      </c>
      <c r="C30" s="284" t="s">
        <v>384</v>
      </c>
      <c r="D30" s="268">
        <v>12000</v>
      </c>
      <c r="E30" s="268">
        <v>17706</v>
      </c>
      <c r="F30" s="265" t="s">
        <v>1133</v>
      </c>
      <c r="G30" s="266">
        <f>E30-D30</f>
        <v>5706</v>
      </c>
      <c r="H30" s="274"/>
    </row>
    <row r="31" spans="1:8" ht="22.5" thickBot="1">
      <c r="A31" s="789" t="s">
        <v>184</v>
      </c>
      <c r="B31" s="789"/>
      <c r="C31" s="790"/>
      <c r="D31" s="269">
        <f>SUM(D26:D30)</f>
        <v>78000</v>
      </c>
      <c r="E31" s="269">
        <f>SUM(E26:E30)</f>
        <v>108666</v>
      </c>
      <c r="F31" s="498" t="s">
        <v>1133</v>
      </c>
      <c r="G31" s="270">
        <f>E31-D31</f>
        <v>30666</v>
      </c>
      <c r="H31" s="271"/>
    </row>
    <row r="32" spans="1:8" ht="22.5" thickTop="1">
      <c r="A32" s="260"/>
      <c r="B32" s="260"/>
      <c r="C32" s="260"/>
      <c r="D32" s="275"/>
      <c r="E32" s="275"/>
      <c r="F32" s="321"/>
      <c r="G32" s="277"/>
      <c r="H32" s="321"/>
    </row>
    <row r="33" spans="1:8" ht="21.75">
      <c r="A33" s="90"/>
      <c r="B33" s="89"/>
      <c r="C33" s="90"/>
      <c r="D33" s="297"/>
      <c r="E33" s="297"/>
      <c r="F33" s="313"/>
      <c r="G33" s="277"/>
      <c r="H33" s="277"/>
    </row>
    <row r="34" spans="1:8" ht="22.5">
      <c r="A34" s="136" t="s">
        <v>894</v>
      </c>
      <c r="B34" s="138"/>
      <c r="C34" s="143"/>
      <c r="D34" s="334"/>
      <c r="E34" s="295"/>
      <c r="F34" s="295"/>
      <c r="G34" s="446"/>
      <c r="H34" s="277"/>
    </row>
    <row r="35" spans="1:8" ht="22.5">
      <c r="A35" s="136" t="s">
        <v>895</v>
      </c>
      <c r="B35" s="138"/>
      <c r="C35" s="244"/>
      <c r="D35" s="447"/>
      <c r="E35" s="448"/>
      <c r="F35" s="448"/>
      <c r="G35" s="449"/>
      <c r="H35" s="427"/>
    </row>
    <row r="36" spans="1:8" ht="21.75">
      <c r="A36" s="819"/>
      <c r="B36" s="819"/>
      <c r="C36" s="819"/>
      <c r="D36" s="275"/>
      <c r="E36" s="275"/>
      <c r="F36" s="276"/>
      <c r="G36" s="277"/>
      <c r="H36" s="321"/>
    </row>
    <row r="37" spans="1:8" ht="21.75">
      <c r="A37" s="262"/>
      <c r="B37" s="90"/>
      <c r="C37" s="90"/>
      <c r="D37" s="320"/>
      <c r="E37" s="297"/>
      <c r="F37" s="314"/>
      <c r="G37" s="277"/>
      <c r="H37" s="277"/>
    </row>
    <row r="38" spans="1:8" ht="21.75">
      <c r="A38" s="803" t="s">
        <v>394</v>
      </c>
      <c r="B38" s="803"/>
      <c r="C38" s="803"/>
      <c r="D38" s="803"/>
      <c r="E38" s="803"/>
      <c r="F38" s="803"/>
      <c r="G38" s="803"/>
      <c r="H38" s="803"/>
    </row>
    <row r="39" spans="1:8" ht="21.75">
      <c r="A39" s="257"/>
      <c r="B39" s="257"/>
      <c r="C39" s="257"/>
      <c r="D39" s="255" t="s">
        <v>1131</v>
      </c>
      <c r="E39" s="255" t="s">
        <v>1132</v>
      </c>
      <c r="F39" s="20" t="s">
        <v>1126</v>
      </c>
      <c r="G39" s="261" t="s">
        <v>1135</v>
      </c>
      <c r="H39" s="814" t="s">
        <v>1176</v>
      </c>
    </row>
    <row r="40" spans="1:8" ht="16.5" customHeight="1">
      <c r="A40" s="260"/>
      <c r="B40" s="816"/>
      <c r="C40" s="817"/>
      <c r="D40" s="279"/>
      <c r="E40" s="279"/>
      <c r="F40" s="347" t="s">
        <v>1133</v>
      </c>
      <c r="G40" s="305" t="s">
        <v>1134</v>
      </c>
      <c r="H40" s="815"/>
    </row>
    <row r="41" spans="1:8" ht="21.75">
      <c r="A41" s="260"/>
      <c r="B41" s="259"/>
      <c r="C41" s="259" t="s">
        <v>432</v>
      </c>
      <c r="D41" s="327">
        <f>D31</f>
        <v>78000</v>
      </c>
      <c r="E41" s="499">
        <f>E31</f>
        <v>108666</v>
      </c>
      <c r="F41" s="18" t="s">
        <v>1133</v>
      </c>
      <c r="G41" s="266">
        <f>E41-D41</f>
        <v>30666</v>
      </c>
      <c r="H41" s="319"/>
    </row>
    <row r="42" spans="1:8" ht="21.75">
      <c r="A42" s="260"/>
      <c r="B42" s="89" t="s">
        <v>1161</v>
      </c>
      <c r="C42" s="514" t="s">
        <v>1229</v>
      </c>
      <c r="D42" s="327">
        <v>1000</v>
      </c>
      <c r="E42" s="499">
        <v>0</v>
      </c>
      <c r="F42" s="258"/>
      <c r="G42" s="500"/>
      <c r="H42" s="319"/>
    </row>
    <row r="43" spans="1:8" ht="22.5" customHeight="1">
      <c r="A43" s="90"/>
      <c r="B43" s="89" t="s">
        <v>1161</v>
      </c>
      <c r="C43" s="90" t="s">
        <v>1230</v>
      </c>
      <c r="D43" s="267">
        <v>4000</v>
      </c>
      <c r="E43" s="267">
        <v>2800</v>
      </c>
      <c r="F43" s="265" t="s">
        <v>1126</v>
      </c>
      <c r="G43" s="266">
        <v>2200</v>
      </c>
      <c r="H43" s="266"/>
    </row>
    <row r="44" spans="1:8" ht="27" customHeight="1">
      <c r="A44" s="90"/>
      <c r="B44" s="89"/>
      <c r="C44" s="90" t="s">
        <v>1231</v>
      </c>
      <c r="D44" s="267"/>
      <c r="E44" s="267"/>
      <c r="F44" s="265"/>
      <c r="G44" s="266"/>
      <c r="H44" s="266"/>
    </row>
    <row r="45" spans="1:8" ht="18" customHeight="1">
      <c r="A45" s="90"/>
      <c r="B45" s="89"/>
      <c r="C45" s="90" t="s">
        <v>1232</v>
      </c>
      <c r="D45" s="267"/>
      <c r="E45" s="267"/>
      <c r="F45" s="265"/>
      <c r="G45" s="266"/>
      <c r="H45" s="266"/>
    </row>
    <row r="46" spans="1:8" ht="24" customHeight="1">
      <c r="A46" s="90"/>
      <c r="B46" s="89" t="s">
        <v>1161</v>
      </c>
      <c r="C46" s="90" t="s">
        <v>1225</v>
      </c>
      <c r="D46" s="267">
        <v>1500</v>
      </c>
      <c r="E46" s="267">
        <v>3000</v>
      </c>
      <c r="F46" s="265" t="s">
        <v>1133</v>
      </c>
      <c r="G46" s="266">
        <f aca="true" t="shared" si="1" ref="G46:G51">E46-D46</f>
        <v>1500</v>
      </c>
      <c r="H46" s="266"/>
    </row>
    <row r="47" spans="1:8" ht="22.5" customHeight="1">
      <c r="A47" s="90"/>
      <c r="B47" s="89" t="s">
        <v>1161</v>
      </c>
      <c r="C47" s="90" t="s">
        <v>1226</v>
      </c>
      <c r="D47" s="267">
        <v>0</v>
      </c>
      <c r="E47" s="267">
        <v>1110</v>
      </c>
      <c r="F47" s="265" t="s">
        <v>1133</v>
      </c>
      <c r="G47" s="266">
        <f t="shared" si="1"/>
        <v>1110</v>
      </c>
      <c r="H47" s="266"/>
    </row>
    <row r="48" spans="1:8" ht="23.25" customHeight="1">
      <c r="A48" s="90"/>
      <c r="B48" s="89" t="s">
        <v>1161</v>
      </c>
      <c r="C48" s="90" t="s">
        <v>1233</v>
      </c>
      <c r="D48" s="267">
        <v>0</v>
      </c>
      <c r="E48" s="267">
        <v>820</v>
      </c>
      <c r="F48" s="265" t="s">
        <v>1133</v>
      </c>
      <c r="G48" s="266">
        <f t="shared" si="1"/>
        <v>820</v>
      </c>
      <c r="H48" s="266"/>
    </row>
    <row r="49" spans="1:8" ht="24" customHeight="1">
      <c r="A49" s="90"/>
      <c r="B49" s="89" t="s">
        <v>1161</v>
      </c>
      <c r="C49" s="90" t="s">
        <v>1227</v>
      </c>
      <c r="D49" s="267">
        <v>0</v>
      </c>
      <c r="E49" s="267">
        <v>1020</v>
      </c>
      <c r="F49" s="265" t="s">
        <v>1133</v>
      </c>
      <c r="G49" s="266">
        <f t="shared" si="1"/>
        <v>1020</v>
      </c>
      <c r="H49" s="266"/>
    </row>
    <row r="50" spans="1:8" ht="21.75">
      <c r="A50" s="90"/>
      <c r="B50" s="89" t="s">
        <v>1161</v>
      </c>
      <c r="C50" s="90" t="s">
        <v>1228</v>
      </c>
      <c r="D50" s="267">
        <v>0</v>
      </c>
      <c r="E50" s="267">
        <v>2774.87</v>
      </c>
      <c r="F50" s="265" t="s">
        <v>1126</v>
      </c>
      <c r="G50" s="266">
        <f t="shared" si="1"/>
        <v>2774.87</v>
      </c>
      <c r="H50" s="266"/>
    </row>
    <row r="51" spans="1:8" ht="22.5" thickBot="1">
      <c r="A51" s="819" t="s">
        <v>1142</v>
      </c>
      <c r="B51" s="819"/>
      <c r="C51" s="819"/>
      <c r="D51" s="269">
        <f>SUM(D38:D50)</f>
        <v>84500</v>
      </c>
      <c r="E51" s="269">
        <f>SUM(E38:E50)</f>
        <v>120190.87</v>
      </c>
      <c r="F51" s="498" t="s">
        <v>1133</v>
      </c>
      <c r="G51" s="270">
        <f t="shared" si="1"/>
        <v>35690.869999999995</v>
      </c>
      <c r="H51" s="271"/>
    </row>
    <row r="52" spans="1:8" ht="22.5" thickTop="1">
      <c r="A52" s="55" t="s">
        <v>385</v>
      </c>
      <c r="B52" s="4" t="s">
        <v>1170</v>
      </c>
      <c r="C52" s="4"/>
      <c r="D52" s="24"/>
      <c r="E52" s="267"/>
      <c r="F52" s="23"/>
      <c r="G52" s="266">
        <f>D52-E52</f>
        <v>0</v>
      </c>
      <c r="H52" s="266"/>
    </row>
    <row r="53" spans="1:8" ht="21.75">
      <c r="A53" s="90"/>
      <c r="B53" s="90" t="s">
        <v>1155</v>
      </c>
      <c r="C53" s="90" t="s">
        <v>393</v>
      </c>
      <c r="D53" s="268">
        <v>50000</v>
      </c>
      <c r="E53" s="268">
        <v>104786.7</v>
      </c>
      <c r="F53" s="265" t="s">
        <v>1133</v>
      </c>
      <c r="G53" s="266">
        <f>E53-D53</f>
        <v>54786.7</v>
      </c>
      <c r="H53" s="274"/>
    </row>
    <row r="54" spans="1:8" ht="22.5" thickBot="1">
      <c r="A54" s="789" t="s">
        <v>1142</v>
      </c>
      <c r="B54" s="789"/>
      <c r="C54" s="790"/>
      <c r="D54" s="269">
        <f>SUM(D53)</f>
        <v>50000</v>
      </c>
      <c r="E54" s="269">
        <f>SUM(E53)</f>
        <v>104786.7</v>
      </c>
      <c r="F54" s="517" t="s">
        <v>1133</v>
      </c>
      <c r="G54" s="270">
        <f>E54-D54</f>
        <v>54786.7</v>
      </c>
      <c r="H54" s="270"/>
    </row>
    <row r="55" spans="1:8" ht="22.5" thickTop="1">
      <c r="A55" s="260"/>
      <c r="B55" s="56" t="s">
        <v>1245</v>
      </c>
      <c r="C55" s="56"/>
      <c r="D55" s="280"/>
      <c r="E55" s="280"/>
      <c r="F55" s="26"/>
      <c r="G55" s="452"/>
      <c r="H55" s="266"/>
    </row>
    <row r="56" spans="1:8" ht="21.75">
      <c r="A56" s="260"/>
      <c r="B56" s="90" t="s">
        <v>1155</v>
      </c>
      <c r="C56" s="90" t="s">
        <v>737</v>
      </c>
      <c r="D56" s="280">
        <v>0</v>
      </c>
      <c r="E56" s="280">
        <v>46488</v>
      </c>
      <c r="F56" s="265" t="s">
        <v>1133</v>
      </c>
      <c r="G56" s="452">
        <v>46488</v>
      </c>
      <c r="H56" s="266"/>
    </row>
    <row r="57" spans="1:8" ht="22.5" thickBot="1">
      <c r="A57" s="819" t="s">
        <v>1142</v>
      </c>
      <c r="B57" s="819"/>
      <c r="C57" s="819"/>
      <c r="D57" s="269">
        <f>SUM(D56)</f>
        <v>0</v>
      </c>
      <c r="E57" s="269">
        <f>SUM(E56)</f>
        <v>46488</v>
      </c>
      <c r="F57" s="498" t="s">
        <v>1133</v>
      </c>
      <c r="G57" s="270">
        <v>46488</v>
      </c>
      <c r="H57" s="271"/>
    </row>
    <row r="58" spans="1:8" ht="26.25" customHeight="1" thickTop="1">
      <c r="A58" s="374">
        <v>4</v>
      </c>
      <c r="B58" s="56" t="s">
        <v>395</v>
      </c>
      <c r="C58" s="56"/>
      <c r="D58" s="263"/>
      <c r="E58" s="280"/>
      <c r="F58" s="281"/>
      <c r="G58" s="23"/>
      <c r="H58" s="266"/>
    </row>
    <row r="59" spans="1:8" ht="24.75" customHeight="1">
      <c r="A59" s="90"/>
      <c r="B59" s="90" t="s">
        <v>1155</v>
      </c>
      <c r="C59" s="90" t="s">
        <v>396</v>
      </c>
      <c r="D59" s="267">
        <v>150000</v>
      </c>
      <c r="E59" s="267">
        <v>82000</v>
      </c>
      <c r="F59" s="258" t="s">
        <v>1126</v>
      </c>
      <c r="G59" s="266">
        <f>D59-E59</f>
        <v>68000</v>
      </c>
      <c r="H59" s="266"/>
    </row>
    <row r="60" spans="1:8" ht="27" customHeight="1">
      <c r="A60" s="90"/>
      <c r="B60" s="90" t="s">
        <v>1156</v>
      </c>
      <c r="C60" s="90" t="s">
        <v>397</v>
      </c>
      <c r="D60" s="267">
        <v>1000</v>
      </c>
      <c r="E60" s="281"/>
      <c r="F60" s="258" t="s">
        <v>1126</v>
      </c>
      <c r="G60" s="282">
        <v>1000</v>
      </c>
      <c r="H60" s="266"/>
    </row>
    <row r="61" spans="1:8" ht="23.25" customHeight="1">
      <c r="A61" s="262"/>
      <c r="B61" s="90" t="s">
        <v>1156</v>
      </c>
      <c r="C61" s="514" t="s">
        <v>398</v>
      </c>
      <c r="D61" s="285">
        <v>15000</v>
      </c>
      <c r="E61" s="281">
        <v>2550</v>
      </c>
      <c r="F61" s="258" t="s">
        <v>1126</v>
      </c>
      <c r="G61" s="266">
        <f>D61-E61</f>
        <v>12450</v>
      </c>
      <c r="H61" s="266"/>
    </row>
    <row r="62" spans="1:8" ht="19.5" customHeight="1" thickBot="1">
      <c r="A62" s="515"/>
      <c r="B62" s="515"/>
      <c r="C62" s="516" t="s">
        <v>1142</v>
      </c>
      <c r="D62" s="288">
        <f>SUM(D59:D61)</f>
        <v>166000</v>
      </c>
      <c r="E62" s="288">
        <f>SUM(E59:E61)</f>
        <v>84550</v>
      </c>
      <c r="F62" s="289" t="s">
        <v>1126</v>
      </c>
      <c r="G62" s="270">
        <f>D62-E62</f>
        <v>81450</v>
      </c>
      <c r="H62" s="270"/>
    </row>
    <row r="63" spans="1:8" ht="19.5" customHeight="1" thickTop="1">
      <c r="A63" s="90"/>
      <c r="B63" s="56" t="s">
        <v>399</v>
      </c>
      <c r="C63" s="56"/>
      <c r="D63" s="263"/>
      <c r="E63" s="280"/>
      <c r="F63" s="23"/>
      <c r="G63" s="266"/>
      <c r="H63" s="266"/>
    </row>
    <row r="64" spans="1:8" ht="27" customHeight="1">
      <c r="A64" s="90"/>
      <c r="B64" s="90" t="s">
        <v>1155</v>
      </c>
      <c r="C64" s="90" t="s">
        <v>400</v>
      </c>
      <c r="D64" s="267">
        <v>7353000</v>
      </c>
      <c r="E64" s="303">
        <v>7608859</v>
      </c>
      <c r="F64" s="265" t="s">
        <v>1133</v>
      </c>
      <c r="G64" s="266">
        <v>255859</v>
      </c>
      <c r="H64" s="282"/>
    </row>
    <row r="65" spans="1:8" ht="27" customHeight="1" thickBot="1">
      <c r="A65" s="286"/>
      <c r="B65" s="286"/>
      <c r="C65" s="287" t="s">
        <v>1142</v>
      </c>
      <c r="D65" s="288">
        <f>SUM(D64)</f>
        <v>7353000</v>
      </c>
      <c r="E65" s="288">
        <f>SUM(E64)</f>
        <v>7608859</v>
      </c>
      <c r="F65" s="498" t="s">
        <v>1133</v>
      </c>
      <c r="G65" s="270">
        <v>255859</v>
      </c>
      <c r="H65" s="270"/>
    </row>
    <row r="66" spans="1:8" ht="27" customHeight="1" thickTop="1">
      <c r="A66" s="374">
        <v>5</v>
      </c>
      <c r="B66" s="56" t="s">
        <v>399</v>
      </c>
      <c r="C66" s="56"/>
      <c r="D66" s="263"/>
      <c r="E66" s="280"/>
      <c r="F66" s="23"/>
      <c r="G66" s="266"/>
      <c r="H66" s="266"/>
    </row>
    <row r="67" spans="1:8" ht="21" customHeight="1">
      <c r="A67" s="374"/>
      <c r="B67" s="90" t="s">
        <v>1155</v>
      </c>
      <c r="C67" s="90" t="s">
        <v>774</v>
      </c>
      <c r="D67" s="263"/>
      <c r="E67" s="281">
        <f>7256500+926000</f>
        <v>8182500</v>
      </c>
      <c r="F67" s="23"/>
      <c r="G67" s="266"/>
      <c r="H67" s="266"/>
    </row>
    <row r="68" spans="1:8" ht="27" customHeight="1" thickBot="1">
      <c r="A68" s="90"/>
      <c r="B68" s="90" t="s">
        <v>1155</v>
      </c>
      <c r="C68" s="90" t="s">
        <v>441</v>
      </c>
      <c r="D68" s="267"/>
      <c r="E68" s="303">
        <f>8800438-8182500</f>
        <v>617938</v>
      </c>
      <c r="F68" s="258"/>
      <c r="G68" s="274"/>
      <c r="H68" s="518"/>
    </row>
    <row r="69" spans="1:8" ht="27" customHeight="1">
      <c r="A69" s="819" t="s">
        <v>1142</v>
      </c>
      <c r="B69" s="819"/>
      <c r="C69" s="819"/>
      <c r="D69" s="450">
        <f>SUM(D68:D68)</f>
        <v>0</v>
      </c>
      <c r="E69" s="451">
        <f>SUM(E67:E68)</f>
        <v>8800438</v>
      </c>
      <c r="F69" s="18"/>
      <c r="G69" s="282"/>
      <c r="H69" s="266"/>
    </row>
    <row r="70" spans="1:8" ht="30.75" customHeight="1" thickBot="1">
      <c r="A70" s="795" t="s">
        <v>401</v>
      </c>
      <c r="B70" s="795"/>
      <c r="C70" s="796"/>
      <c r="D70" s="290">
        <f>D12+D23+D51+D54+D57+D62+D65</f>
        <v>20000000</v>
      </c>
      <c r="E70" s="290">
        <f>E12+E23+E51+E54+E57+E62+E65</f>
        <v>23022061.659999996</v>
      </c>
      <c r="F70" s="498" t="s">
        <v>1133</v>
      </c>
      <c r="G70" s="270">
        <f>E70-D70</f>
        <v>3022061.6599999964</v>
      </c>
      <c r="H70" s="291"/>
    </row>
    <row r="71" spans="1:8" ht="33" customHeight="1" thickBot="1" thickTop="1">
      <c r="A71" s="794" t="s">
        <v>1235</v>
      </c>
      <c r="B71" s="794"/>
      <c r="C71" s="794"/>
      <c r="D71" s="450"/>
      <c r="E71" s="740">
        <f>SUM(E69:E70)</f>
        <v>31822499.659999996</v>
      </c>
      <c r="F71" s="18"/>
      <c r="G71" s="282"/>
      <c r="H71" s="266"/>
    </row>
    <row r="72" spans="1:8" ht="30.75" customHeight="1" thickTop="1">
      <c r="A72" s="245"/>
      <c r="B72" s="90"/>
      <c r="C72" s="245"/>
      <c r="D72" s="334"/>
      <c r="E72" s="295"/>
      <c r="F72" s="295"/>
      <c r="G72" s="314"/>
      <c r="H72" s="277"/>
    </row>
    <row r="73" spans="1:8" ht="24.75" customHeight="1">
      <c r="A73" s="90"/>
      <c r="B73" s="90"/>
      <c r="C73" s="245"/>
      <c r="D73" s="334"/>
      <c r="E73" s="295"/>
      <c r="F73" s="295"/>
      <c r="G73" s="446"/>
      <c r="H73" s="277"/>
    </row>
    <row r="74" spans="1:9" ht="27.75" customHeight="1">
      <c r="A74" s="136" t="s">
        <v>894</v>
      </c>
      <c r="B74" s="138"/>
      <c r="C74" s="143"/>
      <c r="D74" s="334"/>
      <c r="E74" s="295"/>
      <c r="F74" s="295"/>
      <c r="G74" s="446"/>
      <c r="H74" s="277"/>
      <c r="I74">
        <f>1639154.48-1639153.94</f>
        <v>0.5400000000372529</v>
      </c>
    </row>
    <row r="75" spans="1:8" ht="22.5">
      <c r="A75" s="136" t="s">
        <v>895</v>
      </c>
      <c r="B75" s="138"/>
      <c r="C75" s="244"/>
      <c r="D75" s="447"/>
      <c r="E75" s="448"/>
      <c r="F75" s="448"/>
      <c r="G75" s="449"/>
      <c r="H75" s="427"/>
    </row>
    <row r="76" spans="1:8" ht="29.25" customHeight="1">
      <c r="A76" s="90"/>
      <c r="B76" s="90"/>
      <c r="C76" s="245"/>
      <c r="D76" s="334"/>
      <c r="E76" s="295"/>
      <c r="F76" s="295"/>
      <c r="G76" s="314"/>
      <c r="H76" s="277"/>
    </row>
    <row r="77" spans="1:8" ht="21.75">
      <c r="A77" s="90"/>
      <c r="B77" s="90"/>
      <c r="C77" s="90"/>
      <c r="D77" s="277"/>
      <c r="E77" s="297"/>
      <c r="F77" s="297"/>
      <c r="G77" s="314"/>
      <c r="H77" s="277"/>
    </row>
    <row r="78" spans="1:8" ht="21.75">
      <c r="A78" s="90"/>
      <c r="B78" s="90"/>
      <c r="C78" s="90"/>
      <c r="D78" s="277"/>
      <c r="E78" s="297"/>
      <c r="F78" s="297"/>
      <c r="G78" s="314"/>
      <c r="H78" s="277"/>
    </row>
    <row r="79" spans="1:8" ht="21.75">
      <c r="A79" s="90"/>
      <c r="B79" s="89"/>
      <c r="C79" s="90"/>
      <c r="D79" s="277"/>
      <c r="E79" s="297"/>
      <c r="F79" s="297"/>
      <c r="G79" s="314"/>
      <c r="H79" s="277"/>
    </row>
    <row r="80" spans="1:8" ht="21.75">
      <c r="A80" s="90"/>
      <c r="B80" s="89"/>
      <c r="C80" s="90"/>
      <c r="D80" s="277"/>
      <c r="E80" s="297"/>
      <c r="F80" s="297"/>
      <c r="G80" s="314"/>
      <c r="H80" s="277"/>
    </row>
    <row r="81" spans="1:8" ht="21.75">
      <c r="A81" s="90"/>
      <c r="B81" s="89"/>
      <c r="C81" s="90"/>
      <c r="D81" s="277"/>
      <c r="E81" s="297"/>
      <c r="F81" s="297"/>
      <c r="G81" s="314"/>
      <c r="H81" s="277"/>
    </row>
    <row r="82" spans="1:8" ht="21.75">
      <c r="A82" s="90"/>
      <c r="B82" s="89"/>
      <c r="C82" s="90"/>
      <c r="D82" s="277"/>
      <c r="E82" s="297"/>
      <c r="F82" s="297"/>
      <c r="G82" s="314"/>
      <c r="H82" s="277"/>
    </row>
    <row r="83" spans="1:8" ht="21.75">
      <c r="A83" s="90"/>
      <c r="B83" s="89"/>
      <c r="C83" s="90"/>
      <c r="D83" s="277"/>
      <c r="E83" s="297"/>
      <c r="F83" s="297"/>
      <c r="G83" s="314"/>
      <c r="H83" s="277"/>
    </row>
    <row r="84" spans="1:8" ht="21.75">
      <c r="A84" s="90"/>
      <c r="B84" s="89"/>
      <c r="C84" s="90"/>
      <c r="D84" s="277"/>
      <c r="E84" s="297"/>
      <c r="F84" s="297"/>
      <c r="G84" s="314"/>
      <c r="H84" s="277"/>
    </row>
    <row r="85" spans="1:8" ht="21.75">
      <c r="A85" s="90"/>
      <c r="B85" s="89"/>
      <c r="C85" s="90"/>
      <c r="D85" s="277"/>
      <c r="E85" s="297"/>
      <c r="F85" s="297"/>
      <c r="G85" s="314"/>
      <c r="H85" s="277"/>
    </row>
    <row r="86" spans="1:8" ht="21.75">
      <c r="A86" s="90"/>
      <c r="B86" s="89"/>
      <c r="C86" s="90"/>
      <c r="D86" s="277"/>
      <c r="E86" s="297"/>
      <c r="F86" s="297"/>
      <c r="G86" s="314"/>
      <c r="H86" s="277"/>
    </row>
    <row r="87" spans="1:8" ht="33" customHeight="1">
      <c r="A87" s="90"/>
      <c r="B87" s="89"/>
      <c r="C87" s="90"/>
      <c r="D87" s="277"/>
      <c r="E87" s="297"/>
      <c r="F87" s="297"/>
      <c r="G87" s="314"/>
      <c r="H87" s="277"/>
    </row>
    <row r="88" spans="1:8" ht="24" customHeight="1">
      <c r="A88" s="90"/>
      <c r="B88" s="89"/>
      <c r="C88" s="90"/>
      <c r="D88" s="277"/>
      <c r="E88" s="297"/>
      <c r="F88" s="297"/>
      <c r="G88" s="314"/>
      <c r="H88" s="277"/>
    </row>
    <row r="89" spans="1:8" ht="21.75" customHeight="1">
      <c r="A89" s="90"/>
      <c r="B89" s="89"/>
      <c r="C89" s="90"/>
      <c r="D89" s="277"/>
      <c r="E89" s="297"/>
      <c r="F89" s="297"/>
      <c r="G89" s="314"/>
      <c r="H89" s="277"/>
    </row>
    <row r="90" spans="1:8" ht="19.5" customHeight="1">
      <c r="A90" s="90"/>
      <c r="B90" s="89"/>
      <c r="C90" s="90"/>
      <c r="D90" s="277"/>
      <c r="E90" s="297"/>
      <c r="F90" s="297"/>
      <c r="G90" s="314"/>
      <c r="H90" s="277"/>
    </row>
    <row r="91" spans="1:8" ht="17.25" customHeight="1">
      <c r="A91" s="90"/>
      <c r="B91" s="89"/>
      <c r="C91" s="90"/>
      <c r="D91" s="277"/>
      <c r="E91" s="297"/>
      <c r="F91" s="297"/>
      <c r="G91" s="314"/>
      <c r="H91" s="277"/>
    </row>
    <row r="92" spans="1:8" ht="19.5" customHeight="1">
      <c r="A92" s="90"/>
      <c r="B92" s="89"/>
      <c r="C92" s="90"/>
      <c r="D92" s="277"/>
      <c r="E92" s="297"/>
      <c r="F92" s="297"/>
      <c r="G92" s="314"/>
      <c r="H92" s="277"/>
    </row>
    <row r="93" spans="1:8" ht="24" customHeight="1">
      <c r="A93" s="90"/>
      <c r="B93" s="89"/>
      <c r="C93" s="90"/>
      <c r="D93" s="277"/>
      <c r="E93" s="297"/>
      <c r="F93" s="297"/>
      <c r="G93" s="314"/>
      <c r="H93" s="277"/>
    </row>
    <row r="94" spans="1:8" ht="23.25" customHeight="1">
      <c r="A94" s="90"/>
      <c r="B94" s="89"/>
      <c r="C94" s="90"/>
      <c r="D94" s="277"/>
      <c r="E94" s="297"/>
      <c r="F94" s="297"/>
      <c r="G94" s="314"/>
      <c r="H94" s="277"/>
    </row>
    <row r="95" spans="1:8" ht="21.75" customHeight="1">
      <c r="A95" s="90"/>
      <c r="B95" s="89"/>
      <c r="C95" s="90"/>
      <c r="D95" s="277"/>
      <c r="E95" s="297"/>
      <c r="F95" s="297"/>
      <c r="G95" s="314"/>
      <c r="H95" s="277"/>
    </row>
    <row r="96" spans="1:8" ht="21.75" customHeight="1">
      <c r="A96" s="90"/>
      <c r="B96" s="89"/>
      <c r="C96" s="90"/>
      <c r="D96" s="277"/>
      <c r="E96" s="297"/>
      <c r="F96" s="297"/>
      <c r="G96" s="314"/>
      <c r="H96" s="277"/>
    </row>
    <row r="97" spans="1:8" ht="21.75" customHeight="1">
      <c r="A97" s="90"/>
      <c r="B97" s="89"/>
      <c r="C97" s="90"/>
      <c r="D97" s="277"/>
      <c r="E97" s="297"/>
      <c r="F97" s="297"/>
      <c r="G97" s="314"/>
      <c r="H97" s="277"/>
    </row>
    <row r="98" spans="1:8" ht="24.75" customHeight="1">
      <c r="A98" s="90"/>
      <c r="B98" s="89"/>
      <c r="C98" s="90"/>
      <c r="D98" s="277"/>
      <c r="E98" s="297"/>
      <c r="F98" s="297"/>
      <c r="G98" s="314"/>
      <c r="H98" s="277"/>
    </row>
    <row r="99" spans="1:8" ht="23.25" customHeight="1">
      <c r="A99" s="90"/>
      <c r="B99" s="89"/>
      <c r="C99" s="90"/>
      <c r="D99" s="277"/>
      <c r="E99" s="297"/>
      <c r="F99" s="297"/>
      <c r="G99" s="314"/>
      <c r="H99" s="277"/>
    </row>
    <row r="100" spans="1:8" ht="23.25" customHeight="1">
      <c r="A100" s="90"/>
      <c r="B100" s="89"/>
      <c r="C100" s="90"/>
      <c r="D100" s="277"/>
      <c r="E100" s="297"/>
      <c r="F100" s="297"/>
      <c r="G100" s="314"/>
      <c r="H100" s="277"/>
    </row>
    <row r="101" spans="1:8" ht="23.25" customHeight="1">
      <c r="A101" s="90"/>
      <c r="B101" s="89"/>
      <c r="C101" s="90"/>
      <c r="D101" s="277"/>
      <c r="E101" s="297"/>
      <c r="F101" s="297"/>
      <c r="G101" s="314"/>
      <c r="H101" s="277"/>
    </row>
    <row r="102" spans="1:8" ht="23.25" customHeight="1">
      <c r="A102" s="90"/>
      <c r="B102" s="89"/>
      <c r="C102" s="90"/>
      <c r="D102" s="277"/>
      <c r="E102" s="297"/>
      <c r="F102" s="297"/>
      <c r="G102" s="314"/>
      <c r="H102" s="277"/>
    </row>
    <row r="103" spans="1:8" ht="24.75" customHeight="1">
      <c r="A103" s="90"/>
      <c r="B103" s="89"/>
      <c r="C103" s="90"/>
      <c r="D103" s="277"/>
      <c r="E103" s="297"/>
      <c r="F103" s="297"/>
      <c r="G103" s="314"/>
      <c r="H103" s="277"/>
    </row>
    <row r="104" spans="1:8" ht="31.5" customHeight="1">
      <c r="A104" s="90"/>
      <c r="B104" s="89"/>
      <c r="C104" s="90"/>
      <c r="D104" s="277"/>
      <c r="E104" s="297"/>
      <c r="F104" s="297"/>
      <c r="G104" s="314"/>
      <c r="H104" s="277"/>
    </row>
    <row r="105" spans="1:8" ht="21.75">
      <c r="A105" s="90"/>
      <c r="B105" s="89"/>
      <c r="C105" s="90"/>
      <c r="D105" s="277"/>
      <c r="E105" s="297"/>
      <c r="F105" s="297"/>
      <c r="G105" s="314"/>
      <c r="H105" s="277"/>
    </row>
    <row r="106" spans="1:8" ht="23.25" customHeight="1">
      <c r="A106" s="90"/>
      <c r="B106" s="90"/>
      <c r="C106" s="245"/>
      <c r="D106" s="321"/>
      <c r="E106" s="338"/>
      <c r="F106" s="338"/>
      <c r="G106" s="339"/>
      <c r="H106" s="321"/>
    </row>
    <row r="107" spans="1:8" ht="41.25" customHeight="1">
      <c r="A107" s="90"/>
      <c r="B107" s="89"/>
      <c r="C107" s="90"/>
      <c r="D107" s="277"/>
      <c r="E107" s="297"/>
      <c r="F107" s="297"/>
      <c r="G107" s="339"/>
      <c r="H107" s="321"/>
    </row>
    <row r="108" spans="1:8" ht="46.5" customHeight="1">
      <c r="A108" s="136" t="s">
        <v>896</v>
      </c>
      <c r="B108" s="138"/>
      <c r="C108" s="143"/>
      <c r="D108" s="277"/>
      <c r="E108" s="297"/>
      <c r="F108" s="297"/>
      <c r="G108" s="339"/>
      <c r="H108" s="321"/>
    </row>
    <row r="109" spans="1:8" ht="36" customHeight="1">
      <c r="A109" s="136" t="s">
        <v>897</v>
      </c>
      <c r="B109" s="138"/>
      <c r="C109" s="244"/>
      <c r="D109" s="312"/>
      <c r="E109" s="312"/>
      <c r="F109" s="312"/>
      <c r="G109" s="313"/>
      <c r="H109" s="321"/>
    </row>
    <row r="110" spans="1:8" ht="28.5" customHeight="1">
      <c r="A110" s="793"/>
      <c r="B110" s="793"/>
      <c r="C110" s="793"/>
      <c r="D110" s="278"/>
      <c r="E110" s="357"/>
      <c r="F110" s="357"/>
      <c r="G110" s="278"/>
      <c r="H110" s="278"/>
    </row>
    <row r="111" spans="1:8" ht="28.5" customHeight="1">
      <c r="A111" s="306"/>
      <c r="B111" s="306"/>
      <c r="C111" s="306"/>
      <c r="D111" s="278"/>
      <c r="E111" s="357"/>
      <c r="F111" s="357"/>
      <c r="G111" s="278"/>
      <c r="H111" s="278"/>
    </row>
    <row r="112" spans="1:8" ht="28.5" customHeight="1">
      <c r="A112" s="306"/>
      <c r="B112" s="306"/>
      <c r="C112" s="306"/>
      <c r="D112" s="278"/>
      <c r="E112" s="357"/>
      <c r="F112" s="357"/>
      <c r="G112" s="278"/>
      <c r="H112" s="278"/>
    </row>
    <row r="113" spans="1:8" ht="21.75">
      <c r="A113" s="278"/>
      <c r="B113" s="278"/>
      <c r="C113" s="278"/>
      <c r="D113" s="821"/>
      <c r="E113" s="821"/>
      <c r="F113" s="314"/>
      <c r="G113" s="313"/>
      <c r="H113" s="821"/>
    </row>
    <row r="114" spans="1:8" ht="21.75">
      <c r="A114" s="278"/>
      <c r="B114" s="278"/>
      <c r="C114" s="278"/>
      <c r="D114" s="821"/>
      <c r="E114" s="821"/>
      <c r="F114" s="314"/>
      <c r="G114" s="313"/>
      <c r="H114" s="821"/>
    </row>
    <row r="115" spans="1:8" ht="21.75">
      <c r="A115" s="278"/>
      <c r="B115" s="278"/>
      <c r="C115" s="278"/>
      <c r="D115" s="821"/>
      <c r="E115" s="821"/>
      <c r="F115" s="314"/>
      <c r="G115" s="313"/>
      <c r="H115" s="821"/>
    </row>
    <row r="116" spans="1:8" ht="21.75">
      <c r="A116" s="278"/>
      <c r="B116" s="278"/>
      <c r="C116" s="278"/>
      <c r="D116" s="822"/>
      <c r="E116" s="822"/>
      <c r="F116" s="314"/>
      <c r="G116" s="313"/>
      <c r="H116" s="822"/>
    </row>
    <row r="117" spans="1:8" ht="21.75">
      <c r="A117" s="341"/>
      <c r="B117" s="278"/>
      <c r="C117" s="342"/>
      <c r="D117" s="343"/>
      <c r="E117" s="343"/>
      <c r="F117" s="314"/>
      <c r="G117" s="277"/>
      <c r="H117" s="277"/>
    </row>
    <row r="118" spans="1:8" ht="21.75">
      <c r="A118" s="342"/>
      <c r="B118" s="341"/>
      <c r="C118" s="342"/>
      <c r="D118" s="343"/>
      <c r="E118" s="343"/>
      <c r="F118" s="314"/>
      <c r="G118" s="277"/>
      <c r="H118" s="277"/>
    </row>
    <row r="119" spans="1:8" ht="21.75">
      <c r="A119" s="342"/>
      <c r="B119" s="342"/>
      <c r="C119" s="342"/>
      <c r="D119" s="344"/>
      <c r="E119" s="345"/>
      <c r="F119" s="313"/>
      <c r="G119" s="277"/>
      <c r="H119" s="277"/>
    </row>
    <row r="120" spans="1:8" ht="33" customHeight="1">
      <c r="A120" s="803" t="s">
        <v>439</v>
      </c>
      <c r="B120" s="803"/>
      <c r="C120" s="803"/>
      <c r="D120" s="803"/>
      <c r="E120" s="803"/>
      <c r="F120" s="803"/>
      <c r="G120" s="803"/>
      <c r="H120" s="803"/>
    </row>
    <row r="121" spans="1:8" ht="21.75">
      <c r="A121" s="257"/>
      <c r="B121" s="257"/>
      <c r="C121" s="257"/>
      <c r="D121" s="820" t="s">
        <v>1131</v>
      </c>
      <c r="E121" s="820" t="s">
        <v>1137</v>
      </c>
      <c r="F121" s="20" t="s">
        <v>1133</v>
      </c>
      <c r="G121" s="261" t="s">
        <v>1134</v>
      </c>
      <c r="H121" s="820" t="s">
        <v>1176</v>
      </c>
    </row>
    <row r="122" spans="1:8" ht="21.75">
      <c r="A122" s="278"/>
      <c r="B122" s="278"/>
      <c r="C122" s="278"/>
      <c r="D122" s="815"/>
      <c r="E122" s="815"/>
      <c r="F122" s="20" t="s">
        <v>1126</v>
      </c>
      <c r="G122" s="261" t="s">
        <v>1135</v>
      </c>
      <c r="H122" s="815"/>
    </row>
    <row r="123" spans="1:8" ht="27" customHeight="1">
      <c r="A123" s="54" t="s">
        <v>407</v>
      </c>
      <c r="B123" s="230"/>
      <c r="C123" s="49"/>
      <c r="D123" s="307"/>
      <c r="E123" s="307"/>
      <c r="F123" s="23"/>
      <c r="G123" s="266"/>
      <c r="H123" s="266"/>
    </row>
    <row r="124" spans="1:8" ht="25.5" customHeight="1">
      <c r="A124" s="19" t="s">
        <v>408</v>
      </c>
      <c r="B124" s="351" t="s">
        <v>409</v>
      </c>
      <c r="C124" s="41"/>
      <c r="D124" s="308"/>
      <c r="E124" s="307"/>
      <c r="F124" s="23"/>
      <c r="G124" s="266"/>
      <c r="H124" s="266"/>
    </row>
    <row r="125" spans="1:8" ht="24.75" customHeight="1">
      <c r="A125" s="19"/>
      <c r="B125" s="19" t="s">
        <v>1155</v>
      </c>
      <c r="C125" s="19" t="s">
        <v>1138</v>
      </c>
      <c r="D125" s="235">
        <f>1542820</f>
        <v>1542820</v>
      </c>
      <c r="E125" s="48">
        <f>999330+462178</f>
        <v>1461508</v>
      </c>
      <c r="F125" s="38" t="s">
        <v>1126</v>
      </c>
      <c r="G125" s="44">
        <f>D125-E125</f>
        <v>81312</v>
      </c>
      <c r="H125" s="266"/>
    </row>
    <row r="126" spans="1:8" ht="22.5" customHeight="1">
      <c r="A126" s="19"/>
      <c r="B126" s="19" t="s">
        <v>1156</v>
      </c>
      <c r="C126" s="19" t="s">
        <v>410</v>
      </c>
      <c r="D126" s="234">
        <f>921600+226000+38000+138000+138000+607560+468000</f>
        <v>2537160</v>
      </c>
      <c r="E126" s="48">
        <v>2218287</v>
      </c>
      <c r="F126" s="38" t="s">
        <v>1126</v>
      </c>
      <c r="G126" s="44">
        <f>D126-E126</f>
        <v>318873</v>
      </c>
      <c r="H126" s="266"/>
    </row>
    <row r="127" spans="1:8" ht="22.5" customHeight="1">
      <c r="A127" s="19"/>
      <c r="B127" s="19" t="s">
        <v>1157</v>
      </c>
      <c r="C127" s="19" t="s">
        <v>411</v>
      </c>
      <c r="D127" s="235">
        <f>118000</f>
        <v>118000</v>
      </c>
      <c r="E127" s="48">
        <v>111720</v>
      </c>
      <c r="F127" s="38" t="s">
        <v>1126</v>
      </c>
      <c r="G127" s="44">
        <f>D127-E127</f>
        <v>6280</v>
      </c>
      <c r="H127" s="266"/>
    </row>
    <row r="128" spans="1:8" ht="21.75">
      <c r="A128" s="19"/>
      <c r="B128" s="19" t="s">
        <v>1158</v>
      </c>
      <c r="C128" s="19" t="s">
        <v>412</v>
      </c>
      <c r="D128" s="235">
        <f>70000+74000+200000+196800+60000</f>
        <v>600800</v>
      </c>
      <c r="E128" s="48">
        <v>371085</v>
      </c>
      <c r="F128" s="38" t="s">
        <v>1126</v>
      </c>
      <c r="G128" s="44">
        <f>D128-E128</f>
        <v>229715</v>
      </c>
      <c r="H128" s="266"/>
    </row>
    <row r="129" spans="1:8" ht="24" customHeight="1">
      <c r="A129" s="19"/>
      <c r="B129" s="19" t="s">
        <v>1159</v>
      </c>
      <c r="C129" s="19" t="s">
        <v>416</v>
      </c>
      <c r="D129" s="235">
        <f>1998240+156000+35000+10000+45000+55000+10000+90000+375000+345000</f>
        <v>3119240</v>
      </c>
      <c r="E129" s="48">
        <v>2579900</v>
      </c>
      <c r="F129" s="38" t="s">
        <v>1126</v>
      </c>
      <c r="G129" s="44">
        <f aca="true" t="shared" si="2" ref="G129:G136">D129-E129</f>
        <v>539340</v>
      </c>
      <c r="H129" s="266"/>
    </row>
    <row r="130" spans="1:8" ht="24" customHeight="1">
      <c r="A130" s="19"/>
      <c r="B130" s="19" t="s">
        <v>1161</v>
      </c>
      <c r="C130" s="19" t="s">
        <v>417</v>
      </c>
      <c r="D130" s="235">
        <f>960000+190000+40000+210000+40000+409440+30000+40000+170000+290000+300000+100000+80000+50000+140000+1160000+85000+398200</f>
        <v>4692640</v>
      </c>
      <c r="E130" s="48">
        <f>2052216.48+671912.97</f>
        <v>2724129.45</v>
      </c>
      <c r="F130" s="38" t="s">
        <v>1126</v>
      </c>
      <c r="G130" s="44">
        <f t="shared" si="2"/>
        <v>1968510.5499999998</v>
      </c>
      <c r="H130" s="266"/>
    </row>
    <row r="131" spans="1:8" ht="22.5" customHeight="1">
      <c r="A131" s="19"/>
      <c r="B131" s="19" t="s">
        <v>1160</v>
      </c>
      <c r="C131" s="19" t="s">
        <v>418</v>
      </c>
      <c r="D131" s="235">
        <f>265000+20000+255000+10000+797700+215000+95000+20000+130000+109000+370000</f>
        <v>2286700</v>
      </c>
      <c r="E131" s="48">
        <v>1769072.17</v>
      </c>
      <c r="F131" s="38" t="s">
        <v>1126</v>
      </c>
      <c r="G131" s="44">
        <f t="shared" si="2"/>
        <v>517627.8300000001</v>
      </c>
      <c r="H131" s="266"/>
    </row>
    <row r="132" spans="1:8" ht="22.5" customHeight="1">
      <c r="A132" s="19"/>
      <c r="B132" s="19" t="s">
        <v>1162</v>
      </c>
      <c r="C132" s="19" t="s">
        <v>419</v>
      </c>
      <c r="D132" s="235">
        <f>196000+61660+20000+5000</f>
        <v>282660</v>
      </c>
      <c r="E132" s="48">
        <v>202999.37</v>
      </c>
      <c r="F132" s="38" t="s">
        <v>1126</v>
      </c>
      <c r="G132" s="44">
        <f t="shared" si="2"/>
        <v>79660.63</v>
      </c>
      <c r="H132" s="266"/>
    </row>
    <row r="133" spans="1:8" ht="22.5" customHeight="1">
      <c r="A133" s="19"/>
      <c r="B133" s="19" t="s">
        <v>1173</v>
      </c>
      <c r="C133" s="19" t="s">
        <v>399</v>
      </c>
      <c r="D133" s="235">
        <f>1085880+120000+101000+175000+105000+35000+50000+30000</f>
        <v>1701880</v>
      </c>
      <c r="E133" s="48">
        <v>1538180</v>
      </c>
      <c r="F133" s="38" t="s">
        <v>1126</v>
      </c>
      <c r="G133" s="44">
        <f t="shared" si="2"/>
        <v>163700</v>
      </c>
      <c r="H133" s="266"/>
    </row>
    <row r="134" spans="1:8" ht="23.25" customHeight="1">
      <c r="A134" s="19"/>
      <c r="B134" s="19" t="s">
        <v>255</v>
      </c>
      <c r="C134" s="19" t="s">
        <v>181</v>
      </c>
      <c r="D134" s="375">
        <f>30000+1915000</f>
        <v>1945000</v>
      </c>
      <c r="E134" s="48">
        <v>1672500</v>
      </c>
      <c r="F134" s="38" t="s">
        <v>1126</v>
      </c>
      <c r="G134" s="44">
        <f t="shared" si="2"/>
        <v>272500</v>
      </c>
      <c r="H134" s="266"/>
    </row>
    <row r="135" spans="1:8" ht="22.5" thickBot="1">
      <c r="A135" s="791" t="s">
        <v>420</v>
      </c>
      <c r="B135" s="791"/>
      <c r="C135" s="792"/>
      <c r="D135" s="376">
        <f>SUM(D125:D134)</f>
        <v>18826900</v>
      </c>
      <c r="E135" s="376">
        <f>SUM(E125:E134)</f>
        <v>14649380.989999998</v>
      </c>
      <c r="F135" s="377">
        <f>SUM(F129:F134)</f>
        <v>0</v>
      </c>
      <c r="G135" s="376">
        <f>SUM(G125:G134)</f>
        <v>4177519.01</v>
      </c>
      <c r="H135" s="271"/>
    </row>
    <row r="136" spans="1:8" ht="29.25" customHeight="1" thickTop="1">
      <c r="A136" s="331"/>
      <c r="B136" s="19" t="s">
        <v>1155</v>
      </c>
      <c r="C136" s="336" t="s">
        <v>1150</v>
      </c>
      <c r="D136" s="378">
        <v>269700</v>
      </c>
      <c r="E136" s="378">
        <v>268700</v>
      </c>
      <c r="F136" s="38"/>
      <c r="G136" s="44">
        <f t="shared" si="2"/>
        <v>1000</v>
      </c>
      <c r="H136" s="304"/>
    </row>
    <row r="137" spans="1:8" ht="30.75" customHeight="1">
      <c r="A137" s="19"/>
      <c r="B137" s="19" t="s">
        <v>1156</v>
      </c>
      <c r="C137" s="19" t="s">
        <v>421</v>
      </c>
      <c r="D137" s="235">
        <v>4013400</v>
      </c>
      <c r="E137" s="379">
        <v>4002900</v>
      </c>
      <c r="F137" s="38" t="s">
        <v>1126</v>
      </c>
      <c r="G137" s="44">
        <f>D137-E137</f>
        <v>10500</v>
      </c>
      <c r="H137" s="266"/>
    </row>
    <row r="138" spans="1:8" ht="33.75" customHeight="1" thickBot="1">
      <c r="A138" s="823" t="s">
        <v>422</v>
      </c>
      <c r="B138" s="823"/>
      <c r="C138" s="824"/>
      <c r="D138" s="70">
        <f>SUM(D136:D137)</f>
        <v>4283100</v>
      </c>
      <c r="E138" s="70">
        <f>SUM(E136:E137)</f>
        <v>4271600</v>
      </c>
      <c r="F138" s="70">
        <f>SUM(F136:F137)</f>
        <v>0</v>
      </c>
      <c r="G138" s="70">
        <f>SUM(G136:G137)</f>
        <v>11500</v>
      </c>
      <c r="H138" s="270"/>
    </row>
    <row r="139" spans="1:8" ht="32.25" customHeight="1" thickBot="1" thickTop="1">
      <c r="A139" s="798" t="s">
        <v>423</v>
      </c>
      <c r="B139" s="798"/>
      <c r="C139" s="799"/>
      <c r="D139" s="309">
        <f>D135+D138</f>
        <v>23110000</v>
      </c>
      <c r="E139" s="309">
        <f>E135+E138</f>
        <v>18920980.99</v>
      </c>
      <c r="F139" s="309">
        <f>F135+F138</f>
        <v>0</v>
      </c>
      <c r="G139" s="309">
        <f>G135+G138</f>
        <v>4189019.01</v>
      </c>
      <c r="H139" s="310"/>
    </row>
    <row r="140" spans="1:8" ht="30" customHeight="1" thickTop="1">
      <c r="A140" s="292" t="s">
        <v>911</v>
      </c>
      <c r="B140" s="90"/>
      <c r="C140" s="245" t="s">
        <v>441</v>
      </c>
      <c r="D140" s="293"/>
      <c r="E140" s="294"/>
      <c r="F140" s="275"/>
      <c r="G140" s="23"/>
      <c r="H140" s="266"/>
    </row>
    <row r="141" spans="1:8" ht="30.75" customHeight="1">
      <c r="A141" s="90"/>
      <c r="B141" s="90" t="s">
        <v>1155</v>
      </c>
      <c r="C141" s="19" t="s">
        <v>421</v>
      </c>
      <c r="D141" s="372"/>
      <c r="E141" s="373">
        <v>2300000</v>
      </c>
      <c r="F141" s="359"/>
      <c r="G141" s="20"/>
      <c r="H141" s="266"/>
    </row>
    <row r="142" spans="1:8" ht="29.25" customHeight="1">
      <c r="A142" s="90"/>
      <c r="B142" s="90"/>
      <c r="C142" s="245"/>
      <c r="D142" s="263"/>
      <c r="E142" s="273">
        <v>2300000</v>
      </c>
      <c r="F142" s="297"/>
      <c r="G142" s="23"/>
      <c r="H142" s="266"/>
    </row>
    <row r="143" spans="1:8" ht="24" customHeight="1" thickBot="1">
      <c r="A143" s="335" t="s">
        <v>1143</v>
      </c>
      <c r="B143" s="335"/>
      <c r="C143" s="348"/>
      <c r="D143" s="270"/>
      <c r="E143" s="311">
        <f>E142+E139</f>
        <v>21220980.99</v>
      </c>
      <c r="F143" s="349"/>
      <c r="G143" s="350"/>
      <c r="H143" s="270"/>
    </row>
    <row r="144" spans="1:8" ht="27.75" customHeight="1" thickTop="1">
      <c r="A144" s="245"/>
      <c r="B144" s="245"/>
      <c r="C144" s="90"/>
      <c r="D144" s="277"/>
      <c r="E144" s="353"/>
      <c r="F144" s="297"/>
      <c r="G144" s="314"/>
      <c r="H144" s="277"/>
    </row>
    <row r="145" spans="1:8" ht="26.25" customHeight="1">
      <c r="A145" s="245"/>
      <c r="B145" s="245"/>
      <c r="C145" s="90"/>
      <c r="D145" s="277"/>
      <c r="E145" s="353"/>
      <c r="F145" s="297"/>
      <c r="G145" s="314"/>
      <c r="H145" s="277"/>
    </row>
    <row r="146" spans="1:8" ht="24" customHeight="1">
      <c r="A146" s="245"/>
      <c r="B146" s="245"/>
      <c r="C146" s="90"/>
      <c r="D146" s="277"/>
      <c r="E146" s="353"/>
      <c r="F146" s="297"/>
      <c r="G146" s="314"/>
      <c r="H146" s="277"/>
    </row>
    <row r="147" spans="1:8" ht="27" customHeight="1">
      <c r="A147" s="245"/>
      <c r="B147" s="245"/>
      <c r="C147" s="90"/>
      <c r="D147" s="277"/>
      <c r="E147" s="353"/>
      <c r="F147" s="297"/>
      <c r="G147" s="314"/>
      <c r="H147" s="277"/>
    </row>
    <row r="148" spans="1:8" ht="24.75" customHeight="1">
      <c r="A148" s="245"/>
      <c r="B148" s="245"/>
      <c r="C148" s="90"/>
      <c r="D148" s="277"/>
      <c r="E148" s="353"/>
      <c r="F148" s="297"/>
      <c r="G148" s="314"/>
      <c r="H148" s="277"/>
    </row>
    <row r="149" spans="1:8" ht="24.75" customHeight="1">
      <c r="A149" s="245"/>
      <c r="B149" s="245"/>
      <c r="C149" s="90"/>
      <c r="D149" s="277"/>
      <c r="E149" s="353"/>
      <c r="F149" s="297"/>
      <c r="G149" s="314"/>
      <c r="H149" s="277"/>
    </row>
    <row r="150" spans="1:8" ht="24.75" customHeight="1">
      <c r="A150" s="245"/>
      <c r="B150" s="245"/>
      <c r="C150" s="90"/>
      <c r="D150" s="277"/>
      <c r="E150" s="353"/>
      <c r="F150" s="297"/>
      <c r="G150" s="314"/>
      <c r="H150" s="277"/>
    </row>
    <row r="151" spans="1:8" ht="24.75" customHeight="1">
      <c r="A151" s="803" t="s">
        <v>765</v>
      </c>
      <c r="B151" s="803"/>
      <c r="C151" s="803"/>
      <c r="D151" s="803"/>
      <c r="E151" s="803"/>
      <c r="F151" s="803"/>
      <c r="G151" s="803"/>
      <c r="H151" s="803"/>
    </row>
    <row r="152" spans="1:8" ht="28.5" customHeight="1">
      <c r="A152" s="4" t="s">
        <v>183</v>
      </c>
      <c r="B152" s="4"/>
      <c r="C152" s="86"/>
      <c r="D152" s="266"/>
      <c r="E152" s="380"/>
      <c r="F152" s="297"/>
      <c r="G152" s="23"/>
      <c r="H152" s="266"/>
    </row>
    <row r="153" spans="1:8" ht="21.75">
      <c r="A153" s="90" t="s">
        <v>1155</v>
      </c>
      <c r="B153" s="90" t="s">
        <v>424</v>
      </c>
      <c r="C153" s="245"/>
      <c r="D153" s="266"/>
      <c r="E153" s="381">
        <v>220000</v>
      </c>
      <c r="F153" s="297"/>
      <c r="G153" s="23"/>
      <c r="H153" s="266"/>
    </row>
    <row r="154" spans="1:8" ht="21.75">
      <c r="A154" s="90" t="s">
        <v>1156</v>
      </c>
      <c r="B154" s="90" t="s">
        <v>402</v>
      </c>
      <c r="C154" s="90"/>
      <c r="D154" s="266"/>
      <c r="E154" s="380">
        <v>203150</v>
      </c>
      <c r="F154" s="297"/>
      <c r="G154" s="23"/>
      <c r="H154" s="266"/>
    </row>
    <row r="155" spans="1:8" ht="21.75">
      <c r="A155" s="90"/>
      <c r="B155" s="90" t="s">
        <v>403</v>
      </c>
      <c r="C155" s="90"/>
      <c r="D155" s="266"/>
      <c r="E155" s="380">
        <v>33000</v>
      </c>
      <c r="F155" s="297"/>
      <c r="G155" s="23"/>
      <c r="H155" s="266"/>
    </row>
    <row r="156" spans="1:8" ht="22.5" customHeight="1">
      <c r="A156" s="90"/>
      <c r="B156" s="90" t="s">
        <v>404</v>
      </c>
      <c r="C156" s="90"/>
      <c r="D156" s="266"/>
      <c r="E156" s="380">
        <v>3077.7</v>
      </c>
      <c r="F156" s="297"/>
      <c r="G156" s="23"/>
      <c r="H156" s="266"/>
    </row>
    <row r="157" spans="1:8" ht="21.75" customHeight="1">
      <c r="A157" s="90"/>
      <c r="B157" s="90" t="s">
        <v>405</v>
      </c>
      <c r="C157" s="90"/>
      <c r="D157" s="266"/>
      <c r="E157" s="380">
        <v>6947</v>
      </c>
      <c r="F157" s="267"/>
      <c r="G157" s="258"/>
      <c r="H157" s="266"/>
    </row>
    <row r="158" spans="1:8" ht="23.25" customHeight="1">
      <c r="A158" s="90"/>
      <c r="B158" s="89" t="s">
        <v>406</v>
      </c>
      <c r="C158" s="90"/>
      <c r="D158" s="266"/>
      <c r="E158" s="380">
        <f>97050.43</f>
        <v>97050.43</v>
      </c>
      <c r="F158" s="296"/>
      <c r="G158" s="298"/>
      <c r="H158" s="266"/>
    </row>
    <row r="159" spans="1:8" ht="21.75">
      <c r="A159" s="90" t="s">
        <v>1157</v>
      </c>
      <c r="B159" s="89" t="s">
        <v>429</v>
      </c>
      <c r="C159" s="90"/>
      <c r="D159" s="266"/>
      <c r="E159" s="380">
        <v>196800</v>
      </c>
      <c r="F159" s="296"/>
      <c r="G159" s="298"/>
      <c r="H159" s="266"/>
    </row>
    <row r="160" spans="1:8" ht="22.5" customHeight="1">
      <c r="A160" s="90"/>
      <c r="B160" s="89" t="s">
        <v>430</v>
      </c>
      <c r="C160" s="90"/>
      <c r="D160" s="266"/>
      <c r="E160" s="380">
        <f>9184-492</f>
        <v>8692</v>
      </c>
      <c r="F160" s="296"/>
      <c r="G160" s="298"/>
      <c r="H160" s="266"/>
    </row>
    <row r="161" spans="1:8" ht="26.25" customHeight="1">
      <c r="A161" s="90" t="s">
        <v>1158</v>
      </c>
      <c r="B161" s="89" t="s">
        <v>425</v>
      </c>
      <c r="C161" s="90"/>
      <c r="D161" s="322"/>
      <c r="E161" s="75">
        <f>10000</f>
        <v>10000</v>
      </c>
      <c r="F161" s="317"/>
      <c r="G161" s="265" t="s">
        <v>1126</v>
      </c>
      <c r="H161" s="266"/>
    </row>
    <row r="162" spans="1:8" ht="25.5" customHeight="1">
      <c r="A162" s="90" t="s">
        <v>1159</v>
      </c>
      <c r="B162" s="299" t="s">
        <v>426</v>
      </c>
      <c r="C162" s="90"/>
      <c r="D162" s="322"/>
      <c r="E162" s="75">
        <v>50000</v>
      </c>
      <c r="F162" s="317"/>
      <c r="G162" s="265"/>
      <c r="H162" s="266"/>
    </row>
    <row r="163" spans="1:8" ht="22.5" customHeight="1">
      <c r="A163" s="90"/>
      <c r="B163" s="299" t="s">
        <v>427</v>
      </c>
      <c r="C163" s="90"/>
      <c r="D163" s="322"/>
      <c r="E163" s="75">
        <v>13200</v>
      </c>
      <c r="F163" s="317"/>
      <c r="G163" s="265"/>
      <c r="H163" s="266"/>
    </row>
    <row r="164" spans="1:8" ht="21.75">
      <c r="A164" s="283"/>
      <c r="B164" s="300" t="s">
        <v>428</v>
      </c>
      <c r="C164" s="284"/>
      <c r="D164" s="323"/>
      <c r="E164" s="92">
        <v>20000</v>
      </c>
      <c r="F164" s="324"/>
      <c r="G164" s="324"/>
      <c r="H164" s="274"/>
    </row>
    <row r="165" spans="1:8" ht="22.5" thickBot="1">
      <c r="A165" s="90"/>
      <c r="B165" s="89"/>
      <c r="C165" s="90"/>
      <c r="D165" s="346"/>
      <c r="E165" s="301">
        <f>SUM(E153:E164)</f>
        <v>861917.13</v>
      </c>
      <c r="F165" s="355"/>
      <c r="G165" s="356"/>
      <c r="H165" s="346"/>
    </row>
    <row r="166" spans="1:8" ht="18.75" customHeight="1" thickTop="1">
      <c r="A166" s="292"/>
      <c r="B166" s="90"/>
      <c r="C166" s="245" t="s">
        <v>612</v>
      </c>
      <c r="D166" s="263"/>
      <c r="E166" s="280"/>
      <c r="F166" s="23"/>
      <c r="G166" s="266"/>
      <c r="H166" s="358" t="s">
        <v>1257</v>
      </c>
    </row>
    <row r="167" spans="1:8" ht="20.25" customHeight="1">
      <c r="A167" s="90" t="s">
        <v>1155</v>
      </c>
      <c r="B167" s="90" t="s">
        <v>199</v>
      </c>
      <c r="C167" s="245"/>
      <c r="D167" s="263">
        <v>25842</v>
      </c>
      <c r="E167" s="280">
        <v>25842</v>
      </c>
      <c r="F167" s="23"/>
      <c r="G167" s="266"/>
      <c r="H167" s="266"/>
    </row>
    <row r="168" spans="1:8" ht="21" customHeight="1">
      <c r="A168" s="90" t="s">
        <v>1156</v>
      </c>
      <c r="B168" s="90" t="s">
        <v>185</v>
      </c>
      <c r="C168" s="90"/>
      <c r="D168" s="267">
        <v>1600000</v>
      </c>
      <c r="E168" s="267"/>
      <c r="F168" s="23"/>
      <c r="G168" s="266">
        <f>D168-E168</f>
        <v>1600000</v>
      </c>
      <c r="H168" s="266">
        <f>D168-E168</f>
        <v>1600000</v>
      </c>
    </row>
    <row r="169" spans="1:8" ht="21.75">
      <c r="A169" s="90" t="s">
        <v>1157</v>
      </c>
      <c r="B169" s="89" t="s">
        <v>187</v>
      </c>
      <c r="C169" s="90"/>
      <c r="D169" s="267">
        <v>252400</v>
      </c>
      <c r="E169" s="267"/>
      <c r="F169" s="23"/>
      <c r="G169" s="266">
        <f>D169-E169</f>
        <v>252400</v>
      </c>
      <c r="H169" s="266">
        <f>D169-E169</f>
        <v>252400</v>
      </c>
    </row>
    <row r="170" spans="1:8" ht="21.75">
      <c r="A170" s="90" t="s">
        <v>1158</v>
      </c>
      <c r="B170" s="89" t="s">
        <v>186</v>
      </c>
      <c r="C170" s="90"/>
      <c r="D170" s="267">
        <v>195900</v>
      </c>
      <c r="E170" s="267">
        <v>157000</v>
      </c>
      <c r="F170" s="23"/>
      <c r="G170" s="266">
        <f>D170-E170</f>
        <v>38900</v>
      </c>
      <c r="H170" s="266"/>
    </row>
    <row r="171" spans="1:8" ht="21.75">
      <c r="A171" s="90" t="s">
        <v>1159</v>
      </c>
      <c r="B171" s="89" t="s">
        <v>857</v>
      </c>
      <c r="C171" s="90"/>
      <c r="D171" s="266">
        <v>442900</v>
      </c>
      <c r="E171" s="267"/>
      <c r="F171" s="23"/>
      <c r="G171" s="266">
        <f>D171-E171</f>
        <v>442900</v>
      </c>
      <c r="H171" s="266">
        <f>D171-E171</f>
        <v>442900</v>
      </c>
    </row>
    <row r="172" spans="1:8" ht="21.75">
      <c r="A172" s="90" t="s">
        <v>1161</v>
      </c>
      <c r="B172" s="89" t="s">
        <v>188</v>
      </c>
      <c r="C172" s="90"/>
      <c r="D172" s="266">
        <v>34900</v>
      </c>
      <c r="E172" s="267"/>
      <c r="F172" s="23"/>
      <c r="G172" s="266"/>
      <c r="H172" s="266"/>
    </row>
    <row r="173" spans="1:8" ht="21.75">
      <c r="A173" s="90" t="s">
        <v>1160</v>
      </c>
      <c r="B173" s="89" t="s">
        <v>189</v>
      </c>
      <c r="C173" s="90"/>
      <c r="D173" s="266">
        <v>21400</v>
      </c>
      <c r="E173" s="267"/>
      <c r="F173" s="23"/>
      <c r="G173" s="266"/>
      <c r="H173" s="266"/>
    </row>
    <row r="174" spans="1:8" ht="21.75">
      <c r="A174" s="90" t="s">
        <v>1162</v>
      </c>
      <c r="B174" s="89" t="s">
        <v>190</v>
      </c>
      <c r="C174" s="90"/>
      <c r="D174" s="266">
        <v>55100</v>
      </c>
      <c r="E174" s="267"/>
      <c r="F174" s="23"/>
      <c r="G174" s="266"/>
      <c r="H174" s="266"/>
    </row>
    <row r="175" spans="1:8" ht="21.75">
      <c r="A175" s="90" t="s">
        <v>1173</v>
      </c>
      <c r="B175" s="89" t="s">
        <v>191</v>
      </c>
      <c r="C175" s="90"/>
      <c r="D175" s="266">
        <v>61700</v>
      </c>
      <c r="E175" s="267"/>
      <c r="F175" s="23"/>
      <c r="G175" s="266"/>
      <c r="H175" s="266"/>
    </row>
    <row r="176" spans="1:8" ht="21.75">
      <c r="A176" s="90" t="s">
        <v>255</v>
      </c>
      <c r="B176" s="89" t="s">
        <v>192</v>
      </c>
      <c r="C176" s="90"/>
      <c r="D176" s="266">
        <v>83000</v>
      </c>
      <c r="E176" s="267"/>
      <c r="F176" s="23"/>
      <c r="G176" s="266"/>
      <c r="H176" s="266"/>
    </row>
    <row r="177" spans="1:8" ht="21.75">
      <c r="A177" s="90" t="s">
        <v>640</v>
      </c>
      <c r="B177" s="89" t="s">
        <v>193</v>
      </c>
      <c r="C177" s="90"/>
      <c r="D177" s="266">
        <v>41600</v>
      </c>
      <c r="E177" s="267"/>
      <c r="F177" s="23"/>
      <c r="G177" s="266"/>
      <c r="H177" s="266"/>
    </row>
    <row r="178" spans="1:8" ht="21.75">
      <c r="A178" s="90" t="s">
        <v>641</v>
      </c>
      <c r="B178" s="89" t="s">
        <v>194</v>
      </c>
      <c r="C178" s="90"/>
      <c r="D178" s="266">
        <v>26700</v>
      </c>
      <c r="E178" s="267"/>
      <c r="F178" s="23"/>
      <c r="G178" s="266"/>
      <c r="H178" s="266"/>
    </row>
    <row r="179" spans="1:8" ht="21.75">
      <c r="A179" s="90"/>
      <c r="B179" s="89"/>
      <c r="C179" s="90" t="s">
        <v>198</v>
      </c>
      <c r="D179" s="332">
        <f>SUM(D172:D178)</f>
        <v>324400</v>
      </c>
      <c r="E179" s="333">
        <v>301900</v>
      </c>
      <c r="F179" s="23"/>
      <c r="G179" s="266">
        <f>D179-E179</f>
        <v>22500</v>
      </c>
      <c r="H179" s="266"/>
    </row>
    <row r="180" spans="1:8" ht="21.75">
      <c r="A180" s="90" t="s">
        <v>642</v>
      </c>
      <c r="B180" s="89" t="s">
        <v>195</v>
      </c>
      <c r="C180" s="90"/>
      <c r="D180" s="266">
        <v>192500</v>
      </c>
      <c r="E180" s="267">
        <v>176000</v>
      </c>
      <c r="F180" s="23"/>
      <c r="G180" s="266">
        <f aca="true" t="shared" si="3" ref="G180:G186">D180-E180</f>
        <v>16500</v>
      </c>
      <c r="H180" s="266"/>
    </row>
    <row r="181" spans="1:8" ht="21.75">
      <c r="A181" s="90" t="s">
        <v>643</v>
      </c>
      <c r="B181" s="89" t="s">
        <v>196</v>
      </c>
      <c r="C181" s="90"/>
      <c r="D181" s="266">
        <v>582300</v>
      </c>
      <c r="E181" s="267">
        <v>580000</v>
      </c>
      <c r="F181" s="23"/>
      <c r="G181" s="266">
        <f t="shared" si="3"/>
        <v>2300</v>
      </c>
      <c r="H181" s="266"/>
    </row>
    <row r="182" spans="1:8" ht="21.75">
      <c r="A182" s="90" t="s">
        <v>644</v>
      </c>
      <c r="B182" s="89" t="s">
        <v>197</v>
      </c>
      <c r="C182" s="90"/>
      <c r="D182" s="266">
        <v>437043.65</v>
      </c>
      <c r="E182" s="267">
        <f>185822.62+237057.62</f>
        <v>422880.24</v>
      </c>
      <c r="F182" s="23"/>
      <c r="G182" s="266">
        <f t="shared" si="3"/>
        <v>14163.410000000033</v>
      </c>
      <c r="H182" s="266"/>
    </row>
    <row r="183" spans="1:8" ht="21.75">
      <c r="A183" s="90" t="s">
        <v>645</v>
      </c>
      <c r="B183" s="89" t="s">
        <v>864</v>
      </c>
      <c r="C183" s="90"/>
      <c r="D183" s="266">
        <v>95000</v>
      </c>
      <c r="E183" s="267">
        <v>95000</v>
      </c>
      <c r="F183" s="23"/>
      <c r="G183" s="266">
        <f t="shared" si="3"/>
        <v>0</v>
      </c>
      <c r="H183" s="266">
        <f>D183-E183</f>
        <v>0</v>
      </c>
    </row>
    <row r="184" spans="1:8" ht="21.75">
      <c r="A184" s="90" t="s">
        <v>646</v>
      </c>
      <c r="B184" s="89" t="s">
        <v>865</v>
      </c>
      <c r="C184" s="90"/>
      <c r="D184" s="266">
        <v>1250000</v>
      </c>
      <c r="E184" s="267"/>
      <c r="F184" s="23"/>
      <c r="G184" s="266">
        <f t="shared" si="3"/>
        <v>1250000</v>
      </c>
      <c r="H184" s="266">
        <f>D184-E184</f>
        <v>1250000</v>
      </c>
    </row>
    <row r="185" spans="1:8" ht="21.75">
      <c r="A185" s="90"/>
      <c r="B185" s="89"/>
      <c r="C185" s="90"/>
      <c r="D185" s="266"/>
      <c r="E185" s="267"/>
      <c r="F185" s="23"/>
      <c r="G185" s="266">
        <f t="shared" si="3"/>
        <v>0</v>
      </c>
      <c r="H185" s="266">
        <f>D185-E185</f>
        <v>0</v>
      </c>
    </row>
    <row r="186" spans="1:8" ht="22.5" thickBot="1">
      <c r="A186" s="795" t="s">
        <v>638</v>
      </c>
      <c r="B186" s="795"/>
      <c r="C186" s="796"/>
      <c r="D186" s="382">
        <f>D167+D168+D169+D170+D171+D172+D179+D180+D181+D182+D183+D184</f>
        <v>5433185.65</v>
      </c>
      <c r="E186" s="301">
        <f>SUM(E167:E185)</f>
        <v>1758622.24</v>
      </c>
      <c r="F186" s="302"/>
      <c r="G186" s="270">
        <f t="shared" si="3"/>
        <v>3674563.41</v>
      </c>
      <c r="H186" s="383">
        <f>SUM(H167:H185)</f>
        <v>3545300</v>
      </c>
    </row>
    <row r="187" spans="1:8" ht="22.5" thickTop="1">
      <c r="A187" s="90"/>
      <c r="B187" s="89"/>
      <c r="C187" s="245"/>
      <c r="D187" s="277"/>
      <c r="E187" s="297"/>
      <c r="F187" s="297"/>
      <c r="G187" s="314"/>
      <c r="H187" s="277"/>
    </row>
    <row r="188" spans="1:8" ht="21.75">
      <c r="A188" s="90"/>
      <c r="B188" s="89"/>
      <c r="C188" s="90"/>
      <c r="D188" s="277"/>
      <c r="E188" s="297"/>
      <c r="F188" s="297"/>
      <c r="G188" s="314"/>
      <c r="H188" s="277"/>
    </row>
    <row r="189" spans="1:8" ht="21.75">
      <c r="A189" s="315"/>
      <c r="B189" s="277"/>
      <c r="C189" s="278"/>
      <c r="D189" s="277"/>
      <c r="E189" s="277"/>
      <c r="F189" s="277"/>
      <c r="G189" s="278"/>
      <c r="H189" s="278"/>
    </row>
    <row r="190" spans="1:8" ht="21.75">
      <c r="A190" s="315"/>
      <c r="B190" s="277"/>
      <c r="C190" s="278"/>
      <c r="D190" s="277"/>
      <c r="E190" s="277"/>
      <c r="F190" s="277"/>
      <c r="G190" s="278"/>
      <c r="H190" s="278"/>
    </row>
    <row r="191" spans="1:8" ht="21.75">
      <c r="A191" s="315"/>
      <c r="B191" s="277"/>
      <c r="C191" s="278"/>
      <c r="D191" s="277"/>
      <c r="E191" s="277"/>
      <c r="F191" s="277"/>
      <c r="G191" s="278"/>
      <c r="H191" s="297"/>
    </row>
    <row r="192" spans="1:8" ht="21.75">
      <c r="A192" s="801"/>
      <c r="B192" s="801"/>
      <c r="C192" s="801"/>
      <c r="D192" s="312"/>
      <c r="E192" s="312"/>
      <c r="F192" s="312"/>
      <c r="G192" s="313"/>
      <c r="H192" s="277"/>
    </row>
    <row r="193" spans="1:8" ht="21.75">
      <c r="A193" s="90"/>
      <c r="B193" s="90"/>
      <c r="C193" s="90"/>
      <c r="D193" s="277"/>
      <c r="E193" s="297"/>
      <c r="F193" s="297"/>
      <c r="G193" s="314"/>
      <c r="H193" s="277"/>
    </row>
    <row r="194" spans="1:8" ht="21.75">
      <c r="A194" s="90"/>
      <c r="B194" s="89"/>
      <c r="C194" s="90"/>
      <c r="D194" s="277"/>
      <c r="E194" s="297"/>
      <c r="F194" s="297"/>
      <c r="G194" s="314"/>
      <c r="H194" s="277"/>
    </row>
    <row r="195" spans="1:8" ht="21.75">
      <c r="A195" s="801"/>
      <c r="B195" s="801"/>
      <c r="C195" s="801"/>
      <c r="D195" s="312"/>
      <c r="E195" s="312"/>
      <c r="F195" s="312"/>
      <c r="G195" s="313"/>
      <c r="H195" s="277"/>
    </row>
    <row r="196" spans="1:8" ht="21.75">
      <c r="A196" s="256"/>
      <c r="B196" s="256"/>
      <c r="C196" s="316"/>
      <c r="D196" s="312"/>
      <c r="E196" s="312"/>
      <c r="F196" s="312"/>
      <c r="G196" s="313"/>
      <c r="H196" s="277"/>
    </row>
    <row r="197" spans="1:8" ht="21.75">
      <c r="A197" s="256"/>
      <c r="B197" s="797"/>
      <c r="C197" s="797"/>
      <c r="D197" s="312"/>
      <c r="E197" s="312"/>
      <c r="F197" s="312"/>
      <c r="G197" s="313"/>
      <c r="H197" s="277"/>
    </row>
    <row r="198" spans="1:8" ht="21.75">
      <c r="A198" s="801"/>
      <c r="B198" s="801"/>
      <c r="C198" s="801"/>
      <c r="D198" s="312"/>
      <c r="E198" s="312"/>
      <c r="F198" s="312"/>
      <c r="G198" s="313"/>
      <c r="H198" s="277"/>
    </row>
    <row r="199" spans="1:8" ht="21.75">
      <c r="A199" s="256"/>
      <c r="B199" s="256"/>
      <c r="C199" s="256"/>
      <c r="D199" s="312"/>
      <c r="E199" s="312"/>
      <c r="F199" s="312"/>
      <c r="G199" s="313"/>
      <c r="H199" s="277"/>
    </row>
    <row r="200" spans="1:8" ht="21.75">
      <c r="A200" s="256"/>
      <c r="B200" s="256"/>
      <c r="C200" s="256"/>
      <c r="D200" s="312"/>
      <c r="E200" s="312"/>
      <c r="F200" s="312"/>
      <c r="G200" s="313"/>
      <c r="H200" s="277"/>
    </row>
    <row r="201" spans="1:8" ht="21.75">
      <c r="A201" s="256"/>
      <c r="B201" s="256"/>
      <c r="C201" s="256"/>
      <c r="D201" s="312"/>
      <c r="E201" s="312"/>
      <c r="F201" s="312"/>
      <c r="G201" s="313"/>
      <c r="H201" s="277"/>
    </row>
    <row r="202" spans="1:8" ht="21.75">
      <c r="A202" s="14"/>
      <c r="B202" s="14"/>
      <c r="C202" s="14"/>
      <c r="D202" s="14"/>
      <c r="E202" s="14"/>
      <c r="F202" s="14"/>
      <c r="G202" s="14"/>
      <c r="H202" s="14"/>
    </row>
    <row r="203" spans="1:8" ht="21.75">
      <c r="A203" s="14"/>
      <c r="B203" s="14"/>
      <c r="C203" s="14"/>
      <c r="D203" s="14"/>
      <c r="E203" s="14"/>
      <c r="F203" s="14"/>
      <c r="G203" s="14"/>
      <c r="H203" s="14"/>
    </row>
    <row r="204" spans="1:8" ht="21.75">
      <c r="A204" s="14"/>
      <c r="B204" s="14"/>
      <c r="C204" s="14"/>
      <c r="D204" s="14"/>
      <c r="E204" s="14"/>
      <c r="F204" s="14"/>
      <c r="G204" s="14"/>
      <c r="H204" s="14"/>
    </row>
    <row r="205" spans="1:8" ht="21.75">
      <c r="A205" s="13"/>
      <c r="B205" s="13"/>
      <c r="C205" s="13"/>
      <c r="D205" s="13"/>
      <c r="E205" s="13"/>
      <c r="F205" s="13"/>
      <c r="G205" s="13"/>
      <c r="H205" s="13"/>
    </row>
    <row r="206" spans="1:8" ht="21.75">
      <c r="A206" s="806"/>
      <c r="B206" s="806"/>
      <c r="C206" s="806"/>
      <c r="D206" s="806"/>
      <c r="E206" s="806"/>
      <c r="F206" s="806"/>
      <c r="G206" s="806"/>
      <c r="H206" s="806"/>
    </row>
    <row r="207" spans="1:8" ht="21.75">
      <c r="A207" s="4"/>
      <c r="B207" s="7"/>
      <c r="C207" s="4"/>
      <c r="D207" s="802"/>
      <c r="E207" s="802"/>
      <c r="F207" s="114"/>
      <c r="G207" s="68"/>
      <c r="H207" s="77"/>
    </row>
    <row r="208" spans="1:8" ht="21.75">
      <c r="A208" s="4"/>
      <c r="B208" s="7"/>
      <c r="C208" s="4"/>
      <c r="D208" s="802"/>
      <c r="E208" s="802"/>
      <c r="F208" s="114"/>
      <c r="G208" s="77"/>
      <c r="H208" s="77"/>
    </row>
    <row r="209" spans="1:8" ht="21.75">
      <c r="A209" s="66"/>
      <c r="B209" s="4"/>
      <c r="C209" s="86"/>
      <c r="D209" s="126"/>
      <c r="E209" s="60"/>
      <c r="F209" s="60"/>
      <c r="G209" s="68"/>
      <c r="H209" s="71"/>
    </row>
    <row r="210" spans="1:8" ht="21.75">
      <c r="A210" s="4"/>
      <c r="B210" s="4"/>
      <c r="C210" s="4"/>
      <c r="D210" s="75"/>
      <c r="E210" s="75"/>
      <c r="F210" s="75"/>
      <c r="G210" s="68"/>
      <c r="H210" s="71"/>
    </row>
    <row r="211" spans="1:8" ht="21.75">
      <c r="A211" s="4"/>
      <c r="B211" s="4"/>
      <c r="C211" s="4"/>
      <c r="D211" s="75"/>
      <c r="E211" s="75"/>
      <c r="F211" s="75"/>
      <c r="G211" s="68"/>
      <c r="H211" s="71"/>
    </row>
    <row r="212" spans="1:8" ht="21.75">
      <c r="A212" s="4"/>
      <c r="B212" s="90"/>
      <c r="C212" s="90"/>
      <c r="D212" s="75"/>
      <c r="E212" s="75"/>
      <c r="F212" s="75"/>
      <c r="G212" s="68"/>
      <c r="H212" s="71"/>
    </row>
    <row r="213" spans="1:8" ht="21.75">
      <c r="A213" s="4"/>
      <c r="B213" s="4"/>
      <c r="C213" s="4"/>
      <c r="D213" s="71"/>
      <c r="E213" s="75"/>
      <c r="F213" s="75"/>
      <c r="G213" s="68"/>
      <c r="H213" s="71"/>
    </row>
    <row r="214" spans="1:8" ht="21.75">
      <c r="A214" s="4"/>
      <c r="B214" s="4"/>
      <c r="C214" s="4"/>
      <c r="D214" s="71"/>
      <c r="E214" s="75"/>
      <c r="F214" s="75"/>
      <c r="G214" s="68"/>
      <c r="H214" s="71"/>
    </row>
    <row r="215" spans="1:8" ht="21.75">
      <c r="A215" s="4"/>
      <c r="B215" s="4"/>
      <c r="C215" s="4"/>
      <c r="D215" s="71"/>
      <c r="E215" s="75"/>
      <c r="F215" s="75"/>
      <c r="G215" s="68"/>
      <c r="H215" s="71"/>
    </row>
    <row r="216" spans="1:8" ht="21.75">
      <c r="A216" s="13"/>
      <c r="B216" s="4"/>
      <c r="C216" s="4"/>
      <c r="D216" s="13"/>
      <c r="E216" s="71"/>
      <c r="F216" s="71"/>
      <c r="G216" s="13"/>
      <c r="H216" s="13"/>
    </row>
    <row r="217" spans="1:8" ht="21.75">
      <c r="A217" s="13"/>
      <c r="B217" s="13"/>
      <c r="C217" s="86"/>
      <c r="D217" s="13"/>
      <c r="E217" s="360"/>
      <c r="F217" s="360"/>
      <c r="G217" s="13"/>
      <c r="H217" s="13"/>
    </row>
    <row r="218" spans="1:8" ht="21.75">
      <c r="A218" s="804"/>
      <c r="B218" s="804"/>
      <c r="C218" s="804"/>
      <c r="D218" s="96"/>
      <c r="E218" s="96"/>
      <c r="F218" s="96"/>
      <c r="G218" s="77"/>
      <c r="H218" s="71"/>
    </row>
    <row r="219" spans="1:8" ht="21.75">
      <c r="A219" s="112"/>
      <c r="B219" s="112"/>
      <c r="C219" s="112"/>
      <c r="D219" s="112"/>
      <c r="E219" s="112"/>
      <c r="F219" s="112"/>
      <c r="G219" s="112"/>
      <c r="H219" s="112"/>
    </row>
    <row r="220" spans="1:8" ht="21.75">
      <c r="A220" s="112"/>
      <c r="B220" s="112"/>
      <c r="C220" s="112"/>
      <c r="D220" s="112"/>
      <c r="E220" s="112"/>
      <c r="F220" s="112"/>
      <c r="G220" s="112"/>
      <c r="H220" s="112"/>
    </row>
    <row r="221" spans="1:8" ht="21.75">
      <c r="A221" s="112"/>
      <c r="B221" s="112"/>
      <c r="C221" s="112"/>
      <c r="D221" s="112"/>
      <c r="E221" s="112"/>
      <c r="F221" s="112"/>
      <c r="G221" s="112"/>
      <c r="H221" s="112"/>
    </row>
    <row r="222" spans="1:8" ht="21.75">
      <c r="A222" s="4"/>
      <c r="B222" s="4"/>
      <c r="C222" s="86"/>
      <c r="D222" s="126"/>
      <c r="E222" s="127"/>
      <c r="F222" s="112"/>
      <c r="G222" s="112"/>
      <c r="H222" s="112"/>
    </row>
    <row r="223" spans="1:8" ht="21.75">
      <c r="A223" s="4"/>
      <c r="B223" s="4"/>
      <c r="C223" s="86"/>
      <c r="D223" s="126"/>
      <c r="E223" s="127"/>
      <c r="F223" s="112"/>
      <c r="G223" s="112"/>
      <c r="H223" s="112"/>
    </row>
    <row r="224" spans="1:8" ht="21.75">
      <c r="A224" s="4"/>
      <c r="B224" s="4"/>
      <c r="C224" s="4"/>
      <c r="D224" s="71"/>
      <c r="E224" s="75"/>
      <c r="F224" s="112"/>
      <c r="G224" s="112"/>
      <c r="H224" s="112"/>
    </row>
    <row r="225" spans="1:8" s="112" customFormat="1" ht="21.75">
      <c r="A225" s="90"/>
      <c r="B225" s="90"/>
      <c r="C225" s="90"/>
      <c r="D225" s="277"/>
      <c r="E225" s="297"/>
      <c r="F225" s="297"/>
      <c r="G225" s="314"/>
      <c r="H225" s="277"/>
    </row>
    <row r="226" spans="1:8" ht="21.75">
      <c r="A226" s="4"/>
      <c r="B226" s="4"/>
      <c r="C226" s="4"/>
      <c r="D226" s="71"/>
      <c r="E226" s="75"/>
      <c r="F226" s="112"/>
      <c r="G226" s="112"/>
      <c r="H226" s="112"/>
    </row>
    <row r="227" spans="1:8" ht="21.75">
      <c r="A227" s="4"/>
      <c r="B227" s="4"/>
      <c r="C227" s="4"/>
      <c r="D227" s="71"/>
      <c r="E227" s="75"/>
      <c r="F227" s="112"/>
      <c r="G227" s="112"/>
      <c r="H227" s="112"/>
    </row>
    <row r="228" spans="1:8" ht="21.75">
      <c r="A228" s="4"/>
      <c r="B228" s="7"/>
      <c r="C228" s="4"/>
      <c r="D228" s="71"/>
      <c r="E228" s="75"/>
      <c r="F228" s="112"/>
      <c r="G228" s="112"/>
      <c r="H228" s="112"/>
    </row>
    <row r="229" spans="1:8" ht="21.75">
      <c r="A229" s="4"/>
      <c r="B229" s="7"/>
      <c r="C229" s="4"/>
      <c r="D229" s="71"/>
      <c r="E229" s="75"/>
      <c r="F229" s="112"/>
      <c r="G229" s="112"/>
      <c r="H229" s="112"/>
    </row>
    <row r="230" spans="1:8" ht="21.75">
      <c r="A230" s="4"/>
      <c r="B230" s="7"/>
      <c r="C230" s="4"/>
      <c r="D230" s="71"/>
      <c r="E230" s="75"/>
      <c r="F230" s="112"/>
      <c r="G230" s="112"/>
      <c r="H230" s="112"/>
    </row>
    <row r="231" spans="1:8" ht="21.75">
      <c r="A231" s="4"/>
      <c r="B231" s="7"/>
      <c r="C231" s="4"/>
      <c r="D231" s="71"/>
      <c r="E231" s="75"/>
      <c r="F231" s="112"/>
      <c r="G231" s="112"/>
      <c r="H231" s="112"/>
    </row>
    <row r="232" spans="1:8" ht="21.75">
      <c r="A232" s="4"/>
      <c r="B232" s="64"/>
      <c r="C232" s="4"/>
      <c r="D232" s="71"/>
      <c r="E232" s="75"/>
      <c r="F232" s="112"/>
      <c r="G232" s="112"/>
      <c r="H232" s="112"/>
    </row>
    <row r="233" spans="1:8" ht="21.75">
      <c r="A233" s="4"/>
      <c r="B233" s="64"/>
      <c r="C233" s="4"/>
      <c r="D233" s="71"/>
      <c r="E233" s="75"/>
      <c r="F233" s="112"/>
      <c r="G233" s="112"/>
      <c r="H233" s="112"/>
    </row>
    <row r="234" spans="1:8" ht="21.75">
      <c r="A234" s="4"/>
      <c r="B234" s="64"/>
      <c r="C234" s="4"/>
      <c r="D234" s="71"/>
      <c r="E234" s="75"/>
      <c r="F234" s="112"/>
      <c r="G234" s="112"/>
      <c r="H234" s="112"/>
    </row>
    <row r="235" spans="1:8" ht="21.75">
      <c r="A235" s="800"/>
      <c r="B235" s="800"/>
      <c r="C235" s="800"/>
      <c r="D235" s="124"/>
      <c r="E235" s="46"/>
      <c r="F235" s="112"/>
      <c r="G235" s="112"/>
      <c r="H235" s="112"/>
    </row>
    <row r="236" spans="1:8" ht="21.75">
      <c r="A236" s="90"/>
      <c r="B236" s="90"/>
      <c r="C236" s="245"/>
      <c r="D236" s="124"/>
      <c r="E236" s="46"/>
      <c r="F236" s="112"/>
      <c r="G236" s="112"/>
      <c r="H236" s="112"/>
    </row>
    <row r="237" spans="1:8" ht="21.75">
      <c r="A237" s="4"/>
      <c r="B237" s="7"/>
      <c r="C237" s="4"/>
      <c r="D237" s="71"/>
      <c r="E237" s="75"/>
      <c r="F237" s="112"/>
      <c r="G237" s="112"/>
      <c r="H237" s="112"/>
    </row>
    <row r="238" spans="1:8" ht="21.75">
      <c r="A238" s="4"/>
      <c r="B238" s="7"/>
      <c r="C238" s="4"/>
      <c r="D238" s="71"/>
      <c r="E238" s="75"/>
      <c r="F238" s="112"/>
      <c r="G238" s="112"/>
      <c r="H238" s="112"/>
    </row>
    <row r="239" spans="1:8" ht="21.75">
      <c r="A239" s="804"/>
      <c r="B239" s="804"/>
      <c r="C239" s="804"/>
      <c r="D239" s="96"/>
      <c r="E239" s="96"/>
      <c r="F239" s="112"/>
      <c r="G239" s="112"/>
      <c r="H239" s="112"/>
    </row>
    <row r="240" spans="1:8" ht="21.75">
      <c r="A240" s="805"/>
      <c r="B240" s="805"/>
      <c r="C240" s="805"/>
      <c r="D240" s="1"/>
      <c r="E240" s="128"/>
      <c r="F240" s="112"/>
      <c r="G240" s="112"/>
      <c r="H240" s="112"/>
    </row>
    <row r="241" spans="1:8" ht="21.75">
      <c r="A241" s="112"/>
      <c r="B241" s="112"/>
      <c r="C241" s="112"/>
      <c r="D241" s="112"/>
      <c r="E241" s="112"/>
      <c r="F241" s="112"/>
      <c r="G241" s="112"/>
      <c r="H241" s="112"/>
    </row>
    <row r="242" spans="1:8" ht="21.75">
      <c r="A242" s="112"/>
      <c r="B242" s="112"/>
      <c r="C242" s="112"/>
      <c r="D242" s="112"/>
      <c r="E242" s="112"/>
      <c r="F242" s="112"/>
      <c r="G242" s="112"/>
      <c r="H242" s="112"/>
    </row>
    <row r="243" spans="1:8" ht="21.75">
      <c r="A243" s="112"/>
      <c r="B243" s="112"/>
      <c r="C243" s="112"/>
      <c r="D243" s="112"/>
      <c r="E243" s="112"/>
      <c r="F243" s="112"/>
      <c r="G243" s="112"/>
      <c r="H243" s="112"/>
    </row>
    <row r="244" spans="1:8" ht="21.75">
      <c r="A244" s="112"/>
      <c r="B244" s="112"/>
      <c r="C244" s="112"/>
      <c r="D244" s="112"/>
      <c r="E244" s="112"/>
      <c r="F244" s="112"/>
      <c r="G244" s="112"/>
      <c r="H244" s="112"/>
    </row>
    <row r="245" spans="1:8" ht="21.75">
      <c r="A245" s="112"/>
      <c r="B245" s="112"/>
      <c r="C245" s="112"/>
      <c r="D245" s="112"/>
      <c r="E245" s="112"/>
      <c r="F245" s="112"/>
      <c r="G245" s="112"/>
      <c r="H245" s="112"/>
    </row>
    <row r="246" spans="1:8" ht="21.75">
      <c r="A246" s="112"/>
      <c r="B246" s="112"/>
      <c r="C246" s="112"/>
      <c r="D246" s="112"/>
      <c r="E246" s="112"/>
      <c r="F246" s="112"/>
      <c r="G246" s="112"/>
      <c r="H246" s="112"/>
    </row>
    <row r="247" spans="1:8" ht="21.75">
      <c r="A247" s="112"/>
      <c r="B247" s="112"/>
      <c r="C247" s="112"/>
      <c r="D247" s="112"/>
      <c r="E247" s="112"/>
      <c r="F247" s="112"/>
      <c r="G247" s="112"/>
      <c r="H247" s="112"/>
    </row>
    <row r="248" spans="1:8" ht="21.75">
      <c r="A248" s="112"/>
      <c r="B248" s="112"/>
      <c r="C248" s="112"/>
      <c r="D248" s="112"/>
      <c r="E248" s="112"/>
      <c r="F248" s="112"/>
      <c r="G248" s="112"/>
      <c r="H248" s="112"/>
    </row>
    <row r="249" spans="1:8" ht="21.75">
      <c r="A249" s="112"/>
      <c r="B249" s="112"/>
      <c r="C249" s="112"/>
      <c r="D249" s="112"/>
      <c r="E249" s="112"/>
      <c r="F249" s="112"/>
      <c r="G249" s="112"/>
      <c r="H249" s="112"/>
    </row>
    <row r="250" spans="1:8" ht="21.75">
      <c r="A250" s="112"/>
      <c r="B250" s="112"/>
      <c r="C250" s="112"/>
      <c r="D250" s="112"/>
      <c r="E250" s="112"/>
      <c r="F250" s="112"/>
      <c r="G250" s="112"/>
      <c r="H250" s="112"/>
    </row>
    <row r="251" spans="1:8" ht="21.75">
      <c r="A251" s="112"/>
      <c r="B251" s="112"/>
      <c r="C251" s="112"/>
      <c r="D251" s="112"/>
      <c r="E251" s="112"/>
      <c r="F251" s="112"/>
      <c r="G251" s="112"/>
      <c r="H251" s="112"/>
    </row>
    <row r="252" spans="1:8" ht="21.75">
      <c r="A252" s="112"/>
      <c r="B252" s="112"/>
      <c r="C252" s="112"/>
      <c r="D252" s="112"/>
      <c r="E252" s="112"/>
      <c r="F252" s="112"/>
      <c r="G252" s="112"/>
      <c r="H252" s="112"/>
    </row>
    <row r="253" spans="1:8" ht="21.75">
      <c r="A253" s="112"/>
      <c r="B253" s="112"/>
      <c r="C253" s="112"/>
      <c r="D253" s="112"/>
      <c r="E253" s="112"/>
      <c r="F253" s="112"/>
      <c r="G253" s="112"/>
      <c r="H253" s="112"/>
    </row>
  </sheetData>
  <sheetProtection/>
  <mergeCells count="43">
    <mergeCell ref="A138:C138"/>
    <mergeCell ref="A51:C51"/>
    <mergeCell ref="D121:D122"/>
    <mergeCell ref="E121:E122"/>
    <mergeCell ref="A57:C57"/>
    <mergeCell ref="A69:C69"/>
    <mergeCell ref="A70:C70"/>
    <mergeCell ref="H121:H122"/>
    <mergeCell ref="A120:H120"/>
    <mergeCell ref="D113:D116"/>
    <mergeCell ref="E113:E116"/>
    <mergeCell ref="H113:H116"/>
    <mergeCell ref="A38:H38"/>
    <mergeCell ref="B40:C40"/>
    <mergeCell ref="A12:C12"/>
    <mergeCell ref="A23:C23"/>
    <mergeCell ref="A36:C36"/>
    <mergeCell ref="H39:H40"/>
    <mergeCell ref="A31:C31"/>
    <mergeCell ref="A1:H1"/>
    <mergeCell ref="A2:H2"/>
    <mergeCell ref="A3:H3"/>
    <mergeCell ref="D4:D5"/>
    <mergeCell ref="E4:E5"/>
    <mergeCell ref="H4:H5"/>
    <mergeCell ref="A239:C239"/>
    <mergeCell ref="A240:C240"/>
    <mergeCell ref="A54:C54"/>
    <mergeCell ref="A135:C135"/>
    <mergeCell ref="A110:C110"/>
    <mergeCell ref="A71:C71"/>
    <mergeCell ref="A186:C186"/>
    <mergeCell ref="A218:C218"/>
    <mergeCell ref="A195:C195"/>
    <mergeCell ref="B197:C197"/>
    <mergeCell ref="A139:C139"/>
    <mergeCell ref="A235:C235"/>
    <mergeCell ref="A198:C198"/>
    <mergeCell ref="A206:H206"/>
    <mergeCell ref="A192:C192"/>
    <mergeCell ref="D207:D208"/>
    <mergeCell ref="E207:E208"/>
    <mergeCell ref="A151:H151"/>
  </mergeCells>
  <printOptions/>
  <pageMargins left="0.57" right="0.17" top="0.75" bottom="0.44" header="0.41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7" sqref="G17"/>
    </sheetView>
  </sheetViews>
  <sheetFormatPr defaultColWidth="9.140625" defaultRowHeight="21.75"/>
  <cols>
    <col min="1" max="1" width="6.28125" style="0" customWidth="1"/>
    <col min="2" max="2" width="28.7109375" style="0" customWidth="1"/>
    <col min="3" max="3" width="17.140625" style="0" customWidth="1"/>
    <col min="4" max="5" width="17.57421875" style="0" customWidth="1"/>
    <col min="6" max="6" width="18.421875" style="0" customWidth="1"/>
    <col min="7" max="7" width="16.7109375" style="0" customWidth="1"/>
    <col min="8" max="8" width="18.7109375" style="0" customWidth="1"/>
  </cols>
  <sheetData>
    <row r="1" spans="1:8" ht="21.75">
      <c r="A1" s="849" t="s">
        <v>1153</v>
      </c>
      <c r="B1" s="849"/>
      <c r="C1" s="849"/>
      <c r="D1" s="849"/>
      <c r="E1" s="849"/>
      <c r="F1" s="849"/>
      <c r="G1" s="849"/>
      <c r="H1" s="849"/>
    </row>
    <row r="2" spans="1:8" ht="21.75">
      <c r="A2" s="849" t="s">
        <v>948</v>
      </c>
      <c r="B2" s="849"/>
      <c r="C2" s="849"/>
      <c r="D2" s="849"/>
      <c r="E2" s="849"/>
      <c r="F2" s="849"/>
      <c r="G2" s="849"/>
      <c r="H2" s="849"/>
    </row>
    <row r="3" spans="1:8" ht="21.75">
      <c r="A3" s="849" t="s">
        <v>224</v>
      </c>
      <c r="B3" s="849"/>
      <c r="C3" s="849"/>
      <c r="D3" s="849"/>
      <c r="E3" s="849"/>
      <c r="F3" s="849"/>
      <c r="G3" s="849"/>
      <c r="H3" s="849"/>
    </row>
    <row r="5" spans="1:8" ht="21.75">
      <c r="A5" s="221" t="s">
        <v>1163</v>
      </c>
      <c r="B5" s="216"/>
      <c r="C5" s="167" t="s">
        <v>1131</v>
      </c>
      <c r="D5" s="167" t="s">
        <v>1142</v>
      </c>
      <c r="E5" s="167" t="s">
        <v>928</v>
      </c>
      <c r="F5" s="167" t="s">
        <v>944</v>
      </c>
      <c r="G5" s="167" t="s">
        <v>945</v>
      </c>
      <c r="H5" s="178" t="s">
        <v>946</v>
      </c>
    </row>
    <row r="6" spans="1:8" ht="21.75">
      <c r="A6" s="219"/>
      <c r="B6" s="220"/>
      <c r="C6" s="168"/>
      <c r="D6" s="168"/>
      <c r="E6" s="168"/>
      <c r="F6" s="168"/>
      <c r="G6" s="168"/>
      <c r="H6" s="168" t="s">
        <v>947</v>
      </c>
    </row>
    <row r="7" spans="1:8" ht="21.75">
      <c r="A7" s="215" t="s">
        <v>911</v>
      </c>
      <c r="B7" s="216"/>
      <c r="C7" s="170"/>
      <c r="D7" s="170"/>
      <c r="E7" s="170"/>
      <c r="F7" s="170"/>
      <c r="G7" s="170"/>
      <c r="H7" s="170"/>
    </row>
    <row r="8" spans="1:8" ht="18" customHeight="1">
      <c r="A8" s="217"/>
      <c r="B8" s="218" t="s">
        <v>125</v>
      </c>
      <c r="C8" s="172"/>
      <c r="D8" s="174"/>
      <c r="E8" s="172"/>
      <c r="F8" s="172"/>
      <c r="G8" s="170"/>
      <c r="H8" s="172"/>
    </row>
    <row r="9" spans="1:8" ht="21.75">
      <c r="A9" s="217"/>
      <c r="B9" s="222" t="s">
        <v>126</v>
      </c>
      <c r="C9" s="172">
        <f>506000+70000</f>
        <v>576000</v>
      </c>
      <c r="D9" s="174">
        <f aca="true" t="shared" si="0" ref="D9:D21">E9+F9+G9+H9</f>
        <v>551040</v>
      </c>
      <c r="E9" s="482">
        <v>551040</v>
      </c>
      <c r="F9" s="172"/>
      <c r="G9" s="170"/>
      <c r="H9" s="172"/>
    </row>
    <row r="10" spans="1:8" ht="22.5" customHeight="1">
      <c r="A10" s="217"/>
      <c r="B10" s="222" t="s">
        <v>1167</v>
      </c>
      <c r="C10" s="172"/>
      <c r="D10" s="174">
        <f t="shared" si="0"/>
        <v>0</v>
      </c>
      <c r="E10" s="172"/>
      <c r="F10" s="172"/>
      <c r="G10" s="170"/>
      <c r="H10" s="172"/>
    </row>
    <row r="11" spans="1:8" ht="21.75">
      <c r="A11" s="217"/>
      <c r="B11" s="222" t="s">
        <v>1145</v>
      </c>
      <c r="C11" s="172">
        <v>110000</v>
      </c>
      <c r="D11" s="174">
        <f t="shared" si="0"/>
        <v>98400</v>
      </c>
      <c r="E11" s="172"/>
      <c r="F11" s="172"/>
      <c r="G11" s="170"/>
      <c r="H11" s="172">
        <v>98400</v>
      </c>
    </row>
    <row r="12" spans="1:8" ht="21.75">
      <c r="A12" s="217"/>
      <c r="B12" s="222" t="s">
        <v>1146</v>
      </c>
      <c r="C12" s="172">
        <f>40000+20000+20000+10000+40000+5000</f>
        <v>135000</v>
      </c>
      <c r="D12" s="174">
        <f t="shared" si="0"/>
        <v>28824</v>
      </c>
      <c r="E12" s="172">
        <f>9750+15000+2814</f>
        <v>27564</v>
      </c>
      <c r="F12" s="172"/>
      <c r="G12" s="170"/>
      <c r="H12" s="172">
        <v>1260</v>
      </c>
    </row>
    <row r="13" spans="1:8" ht="21.75">
      <c r="A13" s="217"/>
      <c r="B13" s="222" t="s">
        <v>1147</v>
      </c>
      <c r="C13" s="172">
        <f>80000+40000+340000+330000+45000</f>
        <v>835000</v>
      </c>
      <c r="D13" s="174">
        <f t="shared" si="0"/>
        <v>588527.9500000001</v>
      </c>
      <c r="E13" s="172">
        <f>79670+4158</f>
        <v>83828</v>
      </c>
      <c r="F13" s="172">
        <f>334700.28</f>
        <v>334700.28</v>
      </c>
      <c r="G13" s="170"/>
      <c r="H13" s="172">
        <v>169999.67</v>
      </c>
    </row>
    <row r="14" spans="1:8" ht="21.75">
      <c r="A14" s="217"/>
      <c r="B14" s="222" t="s">
        <v>1148</v>
      </c>
      <c r="C14" s="172">
        <f>20000+30000+5000+5000+5000+15000+440000+28000+42000+60000+90000</f>
        <v>740000</v>
      </c>
      <c r="D14" s="174">
        <f t="shared" si="0"/>
        <v>541343.9</v>
      </c>
      <c r="E14" s="172">
        <f>20000+3777.1+2562.6+12914</f>
        <v>39253.7</v>
      </c>
      <c r="F14" s="172">
        <f>149086+224000</f>
        <v>373086</v>
      </c>
      <c r="G14" s="170"/>
      <c r="H14" s="172">
        <f>41524.2+87480</f>
        <v>129004.2</v>
      </c>
    </row>
    <row r="15" spans="1:8" ht="21.75">
      <c r="A15" s="217"/>
      <c r="B15" s="222" t="s">
        <v>1149</v>
      </c>
      <c r="C15" s="172">
        <v>5000</v>
      </c>
      <c r="D15" s="174"/>
      <c r="E15" s="172"/>
      <c r="F15" s="172"/>
      <c r="G15" s="170"/>
      <c r="H15" s="172"/>
    </row>
    <row r="16" spans="1:8" ht="18" customHeight="1">
      <c r="A16" s="217"/>
      <c r="B16" s="222" t="s">
        <v>1152</v>
      </c>
      <c r="C16" s="172"/>
      <c r="D16" s="174"/>
      <c r="E16" s="172"/>
      <c r="F16" s="172"/>
      <c r="G16" s="170"/>
      <c r="H16" s="172"/>
    </row>
    <row r="17" spans="1:8" ht="23.25" customHeight="1">
      <c r="A17" s="217"/>
      <c r="B17" s="222" t="s">
        <v>181</v>
      </c>
      <c r="C17" s="172"/>
      <c r="D17" s="174"/>
      <c r="E17" s="172"/>
      <c r="F17" s="172"/>
      <c r="G17" s="170"/>
      <c r="H17" s="172"/>
    </row>
    <row r="18" spans="1:8" ht="17.25" customHeight="1">
      <c r="A18" s="217"/>
      <c r="B18" s="222" t="s">
        <v>1138</v>
      </c>
      <c r="C18" s="172"/>
      <c r="D18" s="174"/>
      <c r="E18" s="172"/>
      <c r="F18" s="172"/>
      <c r="G18" s="170"/>
      <c r="H18" s="172"/>
    </row>
    <row r="19" spans="1:8" ht="21.75">
      <c r="A19" s="217"/>
      <c r="B19" s="222" t="s">
        <v>926</v>
      </c>
      <c r="C19" s="172"/>
      <c r="D19" s="174"/>
      <c r="E19" s="172"/>
      <c r="F19" s="172"/>
      <c r="G19" s="170"/>
      <c r="H19" s="172"/>
    </row>
    <row r="20" spans="1:8" ht="21.75">
      <c r="A20" s="217"/>
      <c r="B20" s="222" t="s">
        <v>834</v>
      </c>
      <c r="C20" s="172"/>
      <c r="D20" s="174"/>
      <c r="E20" s="172"/>
      <c r="F20" s="172"/>
      <c r="G20" s="170"/>
      <c r="H20" s="172"/>
    </row>
    <row r="21" spans="1:8" ht="21.75">
      <c r="A21" s="217"/>
      <c r="B21" s="222" t="s">
        <v>1151</v>
      </c>
      <c r="C21" s="172">
        <v>504000</v>
      </c>
      <c r="D21" s="174">
        <f t="shared" si="0"/>
        <v>501500</v>
      </c>
      <c r="E21" s="172"/>
      <c r="F21" s="172">
        <v>501500</v>
      </c>
      <c r="G21" s="170"/>
      <c r="H21" s="172"/>
    </row>
    <row r="22" spans="1:8" ht="21.75">
      <c r="A22" s="217"/>
      <c r="B22" s="222" t="s">
        <v>824</v>
      </c>
      <c r="C22" s="172"/>
      <c r="D22" s="174"/>
      <c r="E22" s="172"/>
      <c r="F22" s="172"/>
      <c r="G22" s="170"/>
      <c r="H22" s="172"/>
    </row>
    <row r="23" spans="1:8" ht="22.5" thickBot="1">
      <c r="A23" s="219"/>
      <c r="B23" s="486" t="s">
        <v>1142</v>
      </c>
      <c r="C23" s="456">
        <f>SUM(C8:C22)</f>
        <v>2905000</v>
      </c>
      <c r="D23" s="459">
        <f>SUM(D9:D22)</f>
        <v>2309635.85</v>
      </c>
      <c r="E23" s="456">
        <f>SUM(E8:E22)</f>
        <v>701685.7</v>
      </c>
      <c r="F23" s="456">
        <f>SUM(F8:F22)</f>
        <v>1209286.28</v>
      </c>
      <c r="G23" s="455"/>
      <c r="H23" s="456">
        <f>SUM(H8:H22)</f>
        <v>398663.87000000005</v>
      </c>
    </row>
    <row r="24" spans="1:8" ht="22.5" thickTop="1">
      <c r="A24" s="112"/>
      <c r="B24" s="483"/>
      <c r="C24" s="111"/>
      <c r="D24" s="175"/>
      <c r="E24" s="111"/>
      <c r="F24" s="111"/>
      <c r="G24" s="112"/>
      <c r="H24" s="111"/>
    </row>
    <row r="25" spans="3:8" ht="21.75">
      <c r="C25" s="112"/>
      <c r="D25" s="112"/>
      <c r="E25" s="112"/>
      <c r="F25" s="112"/>
      <c r="G25" s="112"/>
      <c r="H25" s="112"/>
    </row>
    <row r="26" spans="2:5" ht="22.5">
      <c r="B26" s="136" t="s">
        <v>153</v>
      </c>
      <c r="C26" s="138"/>
      <c r="D26" s="143"/>
      <c r="E26" s="277"/>
    </row>
    <row r="27" spans="2:5" ht="22.5">
      <c r="B27" s="136" t="s">
        <v>480</v>
      </c>
      <c r="C27" s="138"/>
      <c r="D27" s="244"/>
      <c r="E27" s="3"/>
    </row>
  </sheetData>
  <sheetProtection/>
  <mergeCells count="3">
    <mergeCell ref="A1:H1"/>
    <mergeCell ref="A2:H2"/>
    <mergeCell ref="A3:H3"/>
  </mergeCells>
  <printOptions/>
  <pageMargins left="0.75" right="0.75" top="0.32" bottom="0.42" header="0.3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0" sqref="E20"/>
    </sheetView>
  </sheetViews>
  <sheetFormatPr defaultColWidth="9.140625" defaultRowHeight="21.75"/>
  <cols>
    <col min="2" max="2" width="29.421875" style="0" customWidth="1"/>
    <col min="3" max="3" width="26.8515625" style="0" customWidth="1"/>
    <col min="4" max="4" width="22.28125" style="0" customWidth="1"/>
    <col min="5" max="5" width="26.421875" style="0" customWidth="1"/>
    <col min="6" max="6" width="25.421875" style="0" customWidth="1"/>
  </cols>
  <sheetData>
    <row r="1" spans="1:6" ht="21.75">
      <c r="A1" s="849" t="s">
        <v>1153</v>
      </c>
      <c r="B1" s="849"/>
      <c r="C1" s="849"/>
      <c r="D1" s="849"/>
      <c r="E1" s="849"/>
      <c r="F1" s="849"/>
    </row>
    <row r="2" spans="1:6" ht="21.75">
      <c r="A2" s="849" t="s">
        <v>257</v>
      </c>
      <c r="B2" s="849"/>
      <c r="C2" s="849"/>
      <c r="D2" s="849"/>
      <c r="E2" s="849"/>
      <c r="F2" s="849"/>
    </row>
    <row r="3" spans="1:6" ht="21.75">
      <c r="A3" s="849" t="s">
        <v>224</v>
      </c>
      <c r="B3" s="849"/>
      <c r="C3" s="849"/>
      <c r="D3" s="849"/>
      <c r="E3" s="849"/>
      <c r="F3" s="849"/>
    </row>
    <row r="5" spans="1:6" ht="21.75">
      <c r="A5" s="221" t="s">
        <v>1163</v>
      </c>
      <c r="B5" s="216"/>
      <c r="C5" s="167" t="s">
        <v>1131</v>
      </c>
      <c r="D5" s="167" t="s">
        <v>1142</v>
      </c>
      <c r="E5" s="167" t="s">
        <v>928</v>
      </c>
      <c r="F5" s="167" t="s">
        <v>949</v>
      </c>
    </row>
    <row r="6" spans="1:6" ht="21.75">
      <c r="A6" s="219"/>
      <c r="B6" s="220"/>
      <c r="C6" s="168"/>
      <c r="D6" s="168"/>
      <c r="E6" s="168"/>
      <c r="F6" s="169" t="s">
        <v>950</v>
      </c>
    </row>
    <row r="7" spans="1:6" ht="21.75">
      <c r="A7" s="215" t="s">
        <v>911</v>
      </c>
      <c r="B7" s="216"/>
      <c r="C7" s="170"/>
      <c r="D7" s="170"/>
      <c r="E7" s="170"/>
      <c r="F7" s="170"/>
    </row>
    <row r="8" spans="1:6" ht="21.75">
      <c r="A8" s="217"/>
      <c r="B8" s="218" t="s">
        <v>125</v>
      </c>
      <c r="C8" s="172"/>
      <c r="D8" s="174">
        <f>E8+F8</f>
        <v>0</v>
      </c>
      <c r="E8" s="170"/>
      <c r="F8" s="172"/>
    </row>
    <row r="9" spans="1:6" ht="21.75">
      <c r="A9" s="217"/>
      <c r="B9" s="222" t="s">
        <v>126</v>
      </c>
      <c r="C9" s="172"/>
      <c r="D9" s="174">
        <f>E9+F9</f>
        <v>0</v>
      </c>
      <c r="E9" s="170"/>
      <c r="F9" s="172"/>
    </row>
    <row r="10" spans="1:6" ht="21.75">
      <c r="A10" s="217"/>
      <c r="B10" s="222" t="s">
        <v>1167</v>
      </c>
      <c r="C10" s="172"/>
      <c r="D10" s="174">
        <f>E10+F10</f>
        <v>0</v>
      </c>
      <c r="E10" s="170"/>
      <c r="F10" s="172"/>
    </row>
    <row r="11" spans="1:6" ht="21.75">
      <c r="A11" s="217"/>
      <c r="B11" s="222" t="s">
        <v>1145</v>
      </c>
      <c r="C11" s="172"/>
      <c r="D11" s="174">
        <f>E11+F11</f>
        <v>0</v>
      </c>
      <c r="E11" s="170"/>
      <c r="F11" s="172"/>
    </row>
    <row r="12" spans="1:6" ht="21.75">
      <c r="A12" s="217"/>
      <c r="B12" s="222" t="s">
        <v>1146</v>
      </c>
      <c r="C12" s="172"/>
      <c r="D12" s="174"/>
      <c r="E12" s="170"/>
      <c r="F12" s="172"/>
    </row>
    <row r="13" spans="1:6" ht="21.75">
      <c r="A13" s="217"/>
      <c r="B13" s="222" t="s">
        <v>1147</v>
      </c>
      <c r="C13" s="172">
        <v>244000</v>
      </c>
      <c r="D13" s="174">
        <f aca="true" t="shared" si="0" ref="D13:D22">E13+F13</f>
        <v>145300.69</v>
      </c>
      <c r="E13" s="172"/>
      <c r="F13" s="172">
        <v>145300.69</v>
      </c>
    </row>
    <row r="14" spans="1:6" ht="21.75">
      <c r="A14" s="217"/>
      <c r="B14" s="222" t="s">
        <v>1148</v>
      </c>
      <c r="C14" s="172"/>
      <c r="D14" s="174">
        <f t="shared" si="0"/>
        <v>0</v>
      </c>
      <c r="E14" s="170"/>
      <c r="F14" s="170"/>
    </row>
    <row r="15" spans="1:6" ht="21.75">
      <c r="A15" s="217"/>
      <c r="B15" s="222" t="s">
        <v>1149</v>
      </c>
      <c r="C15" s="172"/>
      <c r="D15" s="174">
        <f t="shared" si="0"/>
        <v>0</v>
      </c>
      <c r="E15" s="170"/>
      <c r="F15" s="170"/>
    </row>
    <row r="16" spans="1:6" ht="21.75">
      <c r="A16" s="217"/>
      <c r="B16" s="222" t="s">
        <v>1152</v>
      </c>
      <c r="C16" s="172"/>
      <c r="D16" s="174"/>
      <c r="E16" s="172"/>
      <c r="F16" s="172"/>
    </row>
    <row r="17" spans="1:6" ht="21.75">
      <c r="A17" s="217"/>
      <c r="B17" s="222" t="s">
        <v>181</v>
      </c>
      <c r="C17" s="172"/>
      <c r="D17" s="174">
        <f t="shared" si="0"/>
        <v>0</v>
      </c>
      <c r="E17" s="170"/>
      <c r="F17" s="170"/>
    </row>
    <row r="18" spans="1:6" ht="21.75">
      <c r="A18" s="217"/>
      <c r="B18" s="222" t="s">
        <v>1138</v>
      </c>
      <c r="C18" s="172"/>
      <c r="D18" s="174">
        <f t="shared" si="0"/>
        <v>0</v>
      </c>
      <c r="E18" s="170"/>
      <c r="F18" s="170"/>
    </row>
    <row r="19" spans="1:6" ht="21.75">
      <c r="A19" s="217"/>
      <c r="B19" s="222" t="s">
        <v>926</v>
      </c>
      <c r="C19" s="172"/>
      <c r="D19" s="174">
        <f t="shared" si="0"/>
        <v>0</v>
      </c>
      <c r="E19" s="170"/>
      <c r="F19" s="170"/>
    </row>
    <row r="20" spans="1:6" ht="21.75">
      <c r="A20" s="217"/>
      <c r="B20" s="222" t="s">
        <v>834</v>
      </c>
      <c r="C20" s="172"/>
      <c r="D20" s="174">
        <f t="shared" si="0"/>
        <v>0</v>
      </c>
      <c r="E20" s="170"/>
      <c r="F20" s="170"/>
    </row>
    <row r="21" spans="1:6" ht="21.75">
      <c r="A21" s="217"/>
      <c r="B21" s="222" t="s">
        <v>1151</v>
      </c>
      <c r="C21" s="172"/>
      <c r="D21" s="174">
        <f t="shared" si="0"/>
        <v>0</v>
      </c>
      <c r="E21" s="170"/>
      <c r="F21" s="170"/>
    </row>
    <row r="22" spans="1:6" ht="21.75">
      <c r="A22" s="217"/>
      <c r="B22" s="222" t="s">
        <v>824</v>
      </c>
      <c r="C22" s="172"/>
      <c r="D22" s="174">
        <f t="shared" si="0"/>
        <v>0</v>
      </c>
      <c r="E22" s="170"/>
      <c r="F22" s="170"/>
    </row>
    <row r="23" spans="1:6" ht="22.5" thickBot="1">
      <c r="A23" s="219"/>
      <c r="B23" s="486" t="s">
        <v>1142</v>
      </c>
      <c r="C23" s="456">
        <f>SUM(C8:C22)</f>
        <v>244000</v>
      </c>
      <c r="D23" s="459">
        <f>E23+F23</f>
        <v>145300.69</v>
      </c>
      <c r="E23" s="459"/>
      <c r="F23" s="459">
        <f>SUM(F8:F22)</f>
        <v>145300.69</v>
      </c>
    </row>
    <row r="24" spans="2:6" ht="22.5" thickTop="1">
      <c r="B24" s="483"/>
      <c r="C24" s="111"/>
      <c r="D24" s="175"/>
      <c r="E24" s="175"/>
      <c r="F24" s="175"/>
    </row>
    <row r="25" spans="2:6" ht="21.75">
      <c r="B25" s="483"/>
      <c r="C25" s="111"/>
      <c r="D25" s="175"/>
      <c r="E25" s="175"/>
      <c r="F25" s="175"/>
    </row>
    <row r="26" spans="2:5" ht="22.5">
      <c r="B26" s="136" t="s">
        <v>153</v>
      </c>
      <c r="C26" s="138"/>
      <c r="D26" s="143"/>
      <c r="E26" s="277"/>
    </row>
    <row r="27" spans="2:5" ht="22.5">
      <c r="B27" s="136" t="s">
        <v>480</v>
      </c>
      <c r="C27" s="138"/>
      <c r="D27" s="244"/>
      <c r="E27" s="3"/>
    </row>
  </sheetData>
  <sheetProtection/>
  <mergeCells count="3">
    <mergeCell ref="A1:F1"/>
    <mergeCell ref="A2:F2"/>
    <mergeCell ref="A3:F3"/>
  </mergeCells>
  <printOptions/>
  <pageMargins left="0.75" right="0.75" top="0.3" bottom="0.23" header="0.25" footer="0.3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D10" sqref="D10"/>
    </sheetView>
  </sheetViews>
  <sheetFormatPr defaultColWidth="9.140625" defaultRowHeight="21.75"/>
  <cols>
    <col min="2" max="2" width="27.00390625" style="0" customWidth="1"/>
    <col min="3" max="3" width="20.8515625" style="0" customWidth="1"/>
    <col min="4" max="4" width="18.7109375" style="0" customWidth="1"/>
    <col min="5" max="5" width="19.7109375" style="0" customWidth="1"/>
    <col min="6" max="6" width="20.7109375" style="0" customWidth="1"/>
    <col min="7" max="7" width="22.140625" style="0" customWidth="1"/>
  </cols>
  <sheetData>
    <row r="1" spans="1:7" ht="21.75">
      <c r="A1" s="849" t="s">
        <v>1153</v>
      </c>
      <c r="B1" s="849"/>
      <c r="C1" s="849"/>
      <c r="D1" s="849"/>
      <c r="E1" s="849"/>
      <c r="F1" s="849"/>
      <c r="G1" s="849"/>
    </row>
    <row r="2" spans="1:7" ht="21.75">
      <c r="A2" s="849" t="s">
        <v>951</v>
      </c>
      <c r="B2" s="849"/>
      <c r="C2" s="849"/>
      <c r="D2" s="849"/>
      <c r="E2" s="849"/>
      <c r="F2" s="849"/>
      <c r="G2" s="849"/>
    </row>
    <row r="3" spans="1:7" ht="21.75">
      <c r="A3" s="849" t="s">
        <v>224</v>
      </c>
      <c r="B3" s="849"/>
      <c r="C3" s="849"/>
      <c r="D3" s="849"/>
      <c r="E3" s="849"/>
      <c r="F3" s="849"/>
      <c r="G3" s="849"/>
    </row>
    <row r="4" ht="14.25" customHeight="1"/>
    <row r="5" spans="1:7" ht="21.75">
      <c r="A5" s="221" t="s">
        <v>1163</v>
      </c>
      <c r="B5" s="216"/>
      <c r="C5" s="167" t="s">
        <v>1131</v>
      </c>
      <c r="D5" s="167" t="s">
        <v>1142</v>
      </c>
      <c r="E5" s="167" t="s">
        <v>491</v>
      </c>
      <c r="F5" s="167" t="s">
        <v>492</v>
      </c>
      <c r="G5" s="167" t="s">
        <v>258</v>
      </c>
    </row>
    <row r="6" spans="1:7" ht="21.75">
      <c r="A6" s="219"/>
      <c r="B6" s="220"/>
      <c r="C6" s="168"/>
      <c r="D6" s="168"/>
      <c r="E6" s="168"/>
      <c r="F6" s="169" t="s">
        <v>493</v>
      </c>
      <c r="G6" s="169" t="s">
        <v>259</v>
      </c>
    </row>
    <row r="7" spans="1:7" ht="21.75">
      <c r="A7" s="215" t="s">
        <v>911</v>
      </c>
      <c r="B7" s="216"/>
      <c r="C7" s="170"/>
      <c r="D7" s="170"/>
      <c r="E7" s="170"/>
      <c r="F7" s="170"/>
      <c r="G7" s="172"/>
    </row>
    <row r="8" spans="1:7" ht="20.25" customHeight="1">
      <c r="A8" s="217"/>
      <c r="B8" s="218" t="s">
        <v>125</v>
      </c>
      <c r="C8" s="172"/>
      <c r="D8" s="174"/>
      <c r="E8" s="170"/>
      <c r="F8" s="172"/>
      <c r="G8" s="172"/>
    </row>
    <row r="9" spans="1:7" ht="18" customHeight="1">
      <c r="A9" s="217"/>
      <c r="B9" s="222" t="s">
        <v>126</v>
      </c>
      <c r="C9" s="172"/>
      <c r="D9" s="174"/>
      <c r="E9" s="170"/>
      <c r="F9" s="172"/>
      <c r="G9" s="172"/>
    </row>
    <row r="10" spans="1:7" ht="20.25" customHeight="1">
      <c r="A10" s="217"/>
      <c r="B10" s="222" t="s">
        <v>1167</v>
      </c>
      <c r="C10" s="172"/>
      <c r="D10" s="174"/>
      <c r="E10" s="170"/>
      <c r="F10" s="172"/>
      <c r="G10" s="172"/>
    </row>
    <row r="11" spans="1:7" ht="20.25" customHeight="1">
      <c r="A11" s="217"/>
      <c r="B11" s="222" t="s">
        <v>1145</v>
      </c>
      <c r="C11" s="172"/>
      <c r="D11" s="174"/>
      <c r="E11" s="170"/>
      <c r="F11" s="172"/>
      <c r="G11" s="172"/>
    </row>
    <row r="12" spans="1:7" ht="21.75">
      <c r="A12" s="217"/>
      <c r="B12" s="222" t="s">
        <v>1146</v>
      </c>
      <c r="C12" s="172"/>
      <c r="D12" s="481"/>
      <c r="E12" s="173"/>
      <c r="F12" s="482"/>
      <c r="G12" s="482"/>
    </row>
    <row r="13" spans="1:7" ht="21.75">
      <c r="A13" s="217"/>
      <c r="B13" s="222" t="s">
        <v>1147</v>
      </c>
      <c r="C13" s="172">
        <f>475000+125000+25000+30000</f>
        <v>655000</v>
      </c>
      <c r="D13" s="481">
        <f>E13+F13+G13</f>
        <v>534294</v>
      </c>
      <c r="E13" s="482">
        <v>437824</v>
      </c>
      <c r="F13" s="482">
        <v>96470</v>
      </c>
      <c r="G13" s="482"/>
    </row>
    <row r="14" spans="1:7" ht="21" customHeight="1">
      <c r="A14" s="217"/>
      <c r="B14" s="222" t="s">
        <v>1148</v>
      </c>
      <c r="C14" s="172"/>
      <c r="D14" s="174"/>
      <c r="E14" s="170"/>
      <c r="F14" s="170"/>
      <c r="G14" s="172"/>
    </row>
    <row r="15" spans="1:7" ht="19.5" customHeight="1">
      <c r="A15" s="217"/>
      <c r="B15" s="222" t="s">
        <v>1149</v>
      </c>
      <c r="C15" s="172"/>
      <c r="D15" s="174"/>
      <c r="E15" s="170"/>
      <c r="F15" s="170"/>
      <c r="G15" s="172"/>
    </row>
    <row r="16" spans="1:7" ht="21" customHeight="1">
      <c r="A16" s="217"/>
      <c r="B16" s="222" t="s">
        <v>1152</v>
      </c>
      <c r="C16" s="172">
        <v>90000</v>
      </c>
      <c r="D16" s="481">
        <f>E16+F16+G16</f>
        <v>82500</v>
      </c>
      <c r="E16" s="172"/>
      <c r="F16" s="172">
        <v>82500</v>
      </c>
      <c r="G16" s="172"/>
    </row>
    <row r="17" spans="1:7" ht="18.75" customHeight="1">
      <c r="A17" s="217"/>
      <c r="B17" s="222" t="s">
        <v>181</v>
      </c>
      <c r="C17" s="172"/>
      <c r="D17" s="174"/>
      <c r="E17" s="170"/>
      <c r="F17" s="170"/>
      <c r="G17" s="172"/>
    </row>
    <row r="18" spans="1:7" ht="20.25" customHeight="1">
      <c r="A18" s="217"/>
      <c r="B18" s="222" t="s">
        <v>1138</v>
      </c>
      <c r="C18" s="172"/>
      <c r="D18" s="174"/>
      <c r="E18" s="170"/>
      <c r="F18" s="170"/>
      <c r="G18" s="172"/>
    </row>
    <row r="19" spans="1:7" ht="18.75" customHeight="1">
      <c r="A19" s="217"/>
      <c r="B19" s="222" t="s">
        <v>926</v>
      </c>
      <c r="C19" s="172"/>
      <c r="D19" s="174"/>
      <c r="E19" s="170"/>
      <c r="F19" s="170"/>
      <c r="G19" s="172"/>
    </row>
    <row r="20" spans="1:7" ht="18" customHeight="1">
      <c r="A20" s="217"/>
      <c r="B20" s="222" t="s">
        <v>834</v>
      </c>
      <c r="C20" s="172"/>
      <c r="D20" s="174"/>
      <c r="E20" s="170"/>
      <c r="F20" s="170"/>
      <c r="G20" s="172"/>
    </row>
    <row r="21" spans="1:7" ht="18" customHeight="1">
      <c r="A21" s="217"/>
      <c r="B21" s="222" t="s">
        <v>1151</v>
      </c>
      <c r="C21" s="172"/>
      <c r="D21" s="174"/>
      <c r="E21" s="170"/>
      <c r="F21" s="170"/>
      <c r="G21" s="172"/>
    </row>
    <row r="22" spans="1:7" ht="21.75">
      <c r="A22" s="217"/>
      <c r="B22" s="222" t="s">
        <v>824</v>
      </c>
      <c r="C22" s="172"/>
      <c r="D22" s="174"/>
      <c r="E22" s="170"/>
      <c r="F22" s="170"/>
      <c r="G22" s="172"/>
    </row>
    <row r="23" spans="1:7" ht="22.5" thickBot="1">
      <c r="A23" s="219"/>
      <c r="B23" s="486" t="s">
        <v>1142</v>
      </c>
      <c r="C23" s="456">
        <f>SUM(C9:C22)</f>
        <v>745000</v>
      </c>
      <c r="D23" s="459">
        <f>D13+D16</f>
        <v>616794</v>
      </c>
      <c r="E23" s="459">
        <f>SUM(E13:E22)</f>
        <v>437824</v>
      </c>
      <c r="F23" s="459">
        <f>SUM(F13:F22)</f>
        <v>178970</v>
      </c>
      <c r="G23" s="459">
        <f>SUM(G16:G22)</f>
        <v>0</v>
      </c>
    </row>
    <row r="24" spans="1:7" ht="22.5" thickTop="1">
      <c r="A24" s="112"/>
      <c r="B24" s="483"/>
      <c r="C24" s="111"/>
      <c r="D24" s="175"/>
      <c r="E24" s="175"/>
      <c r="F24" s="175"/>
      <c r="G24" s="175"/>
    </row>
    <row r="25" spans="1:7" ht="21.75">
      <c r="A25" s="112"/>
      <c r="B25" s="483"/>
      <c r="C25" s="111"/>
      <c r="D25" s="175"/>
      <c r="E25" s="175"/>
      <c r="F25" s="175"/>
      <c r="G25" s="175"/>
    </row>
    <row r="26" spans="2:7" ht="21.75">
      <c r="B26" s="112"/>
      <c r="C26" s="112"/>
      <c r="D26" s="112"/>
      <c r="E26" s="112"/>
      <c r="F26" s="112"/>
      <c r="G26" s="112"/>
    </row>
    <row r="27" spans="2:5" ht="22.5">
      <c r="B27" s="136" t="s">
        <v>153</v>
      </c>
      <c r="C27" s="138"/>
      <c r="D27" s="143"/>
      <c r="E27" s="277"/>
    </row>
    <row r="28" spans="2:5" ht="22.5">
      <c r="B28" s="136" t="s">
        <v>480</v>
      </c>
      <c r="C28" s="138"/>
      <c r="D28" s="244"/>
      <c r="E28" s="3"/>
    </row>
    <row r="30" spans="2:5" ht="22.5">
      <c r="B30" s="136"/>
      <c r="C30" s="138"/>
      <c r="D30" s="244"/>
      <c r="E30" s="3"/>
    </row>
  </sheetData>
  <sheetProtection/>
  <mergeCells count="3">
    <mergeCell ref="A1:G1"/>
    <mergeCell ref="A2:G2"/>
    <mergeCell ref="A3:G3"/>
  </mergeCells>
  <printOptions/>
  <pageMargins left="0.94" right="0.75" top="0.4" bottom="0.29" header="0.32" footer="0.1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0" sqref="D10"/>
    </sheetView>
  </sheetViews>
  <sheetFormatPr defaultColWidth="9.140625" defaultRowHeight="21.75"/>
  <cols>
    <col min="2" max="2" width="32.57421875" style="0" customWidth="1"/>
    <col min="3" max="3" width="20.28125" style="0" customWidth="1"/>
    <col min="4" max="4" width="19.421875" style="0" customWidth="1"/>
    <col min="5" max="5" width="18.7109375" style="0" customWidth="1"/>
    <col min="6" max="6" width="19.28125" style="0" customWidth="1"/>
    <col min="7" max="7" width="20.140625" style="0" customWidth="1"/>
  </cols>
  <sheetData>
    <row r="1" spans="1:7" ht="21.75">
      <c r="A1" s="849" t="s">
        <v>1153</v>
      </c>
      <c r="B1" s="849"/>
      <c r="C1" s="849"/>
      <c r="D1" s="849"/>
      <c r="E1" s="849"/>
      <c r="F1" s="849"/>
      <c r="G1" s="849"/>
    </row>
    <row r="2" spans="1:7" ht="21.75">
      <c r="A2" s="849" t="s">
        <v>952</v>
      </c>
      <c r="B2" s="849"/>
      <c r="C2" s="849"/>
      <c r="D2" s="849"/>
      <c r="E2" s="849"/>
      <c r="F2" s="849"/>
      <c r="G2" s="849"/>
    </row>
    <row r="3" spans="1:7" ht="21.75">
      <c r="A3" s="849" t="s">
        <v>224</v>
      </c>
      <c r="B3" s="849"/>
      <c r="C3" s="849"/>
      <c r="D3" s="849"/>
      <c r="E3" s="849"/>
      <c r="F3" s="849"/>
      <c r="G3" s="849"/>
    </row>
    <row r="4" spans="1:7" ht="16.5" customHeight="1">
      <c r="A4" s="229"/>
      <c r="B4" s="229"/>
      <c r="C4" s="229"/>
      <c r="D4" s="229"/>
      <c r="E4" s="229"/>
      <c r="F4" s="229"/>
      <c r="G4" s="229"/>
    </row>
    <row r="5" spans="1:7" ht="21.75">
      <c r="A5" s="892" t="s">
        <v>1163</v>
      </c>
      <c r="B5" s="893"/>
      <c r="C5" s="240" t="s">
        <v>1131</v>
      </c>
      <c r="D5" s="167" t="s">
        <v>1142</v>
      </c>
      <c r="E5" s="167" t="s">
        <v>258</v>
      </c>
      <c r="F5" s="167" t="s">
        <v>953</v>
      </c>
      <c r="G5" s="167" t="s">
        <v>954</v>
      </c>
    </row>
    <row r="6" spans="1:7" ht="20.25" customHeight="1">
      <c r="A6" s="219"/>
      <c r="B6" s="220"/>
      <c r="C6" s="220"/>
      <c r="D6" s="168"/>
      <c r="E6" s="169" t="s">
        <v>225</v>
      </c>
      <c r="F6" s="168"/>
      <c r="G6" s="169" t="s">
        <v>955</v>
      </c>
    </row>
    <row r="7" spans="1:7" ht="18" customHeight="1">
      <c r="A7" s="215" t="s">
        <v>911</v>
      </c>
      <c r="B7" s="218"/>
      <c r="C7" s="531"/>
      <c r="D7" s="170"/>
      <c r="E7" s="170"/>
      <c r="F7" s="170"/>
      <c r="G7" s="170"/>
    </row>
    <row r="8" spans="1:7" ht="21.75" customHeight="1">
      <c r="A8" s="217"/>
      <c r="B8" s="218" t="s">
        <v>125</v>
      </c>
      <c r="C8" s="528"/>
      <c r="D8" s="174"/>
      <c r="E8" s="174"/>
      <c r="F8" s="170"/>
      <c r="G8" s="172"/>
    </row>
    <row r="9" spans="1:7" ht="20.25" customHeight="1">
      <c r="A9" s="217"/>
      <c r="B9" s="222" t="s">
        <v>126</v>
      </c>
      <c r="C9" s="528"/>
      <c r="D9" s="174"/>
      <c r="E9" s="174"/>
      <c r="F9" s="170"/>
      <c r="G9" s="172"/>
    </row>
    <row r="10" spans="1:7" ht="18.75" customHeight="1">
      <c r="A10" s="217"/>
      <c r="B10" s="222" t="s">
        <v>1167</v>
      </c>
      <c r="C10" s="528"/>
      <c r="D10" s="174"/>
      <c r="E10" s="174"/>
      <c r="F10" s="172"/>
      <c r="G10" s="172"/>
    </row>
    <row r="11" spans="1:7" ht="19.5" customHeight="1">
      <c r="A11" s="217"/>
      <c r="B11" s="222" t="s">
        <v>1145</v>
      </c>
      <c r="C11" s="528"/>
      <c r="D11" s="174"/>
      <c r="E11" s="174"/>
      <c r="F11" s="172"/>
      <c r="G11" s="172"/>
    </row>
    <row r="12" spans="1:7" ht="19.5" customHeight="1">
      <c r="A12" s="217"/>
      <c r="B12" s="222" t="s">
        <v>1146</v>
      </c>
      <c r="C12" s="528"/>
      <c r="D12" s="174"/>
      <c r="E12" s="174"/>
      <c r="F12" s="172">
        <f>5201</f>
        <v>5201</v>
      </c>
      <c r="G12" s="172"/>
    </row>
    <row r="13" spans="1:7" ht="19.5" customHeight="1">
      <c r="A13" s="217"/>
      <c r="B13" s="222" t="s">
        <v>1147</v>
      </c>
      <c r="C13" s="528">
        <f>25000+80000+40000</f>
        <v>145000</v>
      </c>
      <c r="D13" s="174">
        <f>F13+G13</f>
        <v>14575</v>
      </c>
      <c r="E13" s="174"/>
      <c r="F13" s="172"/>
      <c r="G13" s="172">
        <v>14575</v>
      </c>
    </row>
    <row r="14" spans="1:7" ht="19.5" customHeight="1">
      <c r="A14" s="217"/>
      <c r="B14" s="222" t="s">
        <v>1148</v>
      </c>
      <c r="C14" s="528"/>
      <c r="D14" s="174"/>
      <c r="E14" s="174"/>
      <c r="F14" s="172"/>
      <c r="G14" s="170"/>
    </row>
    <row r="15" spans="1:7" ht="21.75">
      <c r="A15" s="217"/>
      <c r="B15" s="222" t="s">
        <v>1149</v>
      </c>
      <c r="C15" s="528">
        <v>70000</v>
      </c>
      <c r="D15" s="174">
        <f>F15+G15</f>
        <v>22041.56</v>
      </c>
      <c r="E15" s="174"/>
      <c r="F15" s="172">
        <v>22041.56</v>
      </c>
      <c r="G15" s="170"/>
    </row>
    <row r="16" spans="1:7" ht="20.25" customHeight="1">
      <c r="A16" s="217"/>
      <c r="B16" s="222" t="s">
        <v>1152</v>
      </c>
      <c r="C16" s="528"/>
      <c r="D16" s="174"/>
      <c r="E16" s="174"/>
      <c r="F16" s="172"/>
      <c r="G16" s="172"/>
    </row>
    <row r="17" spans="1:7" ht="20.25" customHeight="1">
      <c r="A17" s="217"/>
      <c r="B17" s="222" t="s">
        <v>181</v>
      </c>
      <c r="C17" s="528"/>
      <c r="D17" s="174"/>
      <c r="E17" s="174"/>
      <c r="F17" s="170"/>
      <c r="G17" s="170"/>
    </row>
    <row r="18" spans="1:7" ht="18" customHeight="1">
      <c r="A18" s="217"/>
      <c r="B18" s="222" t="s">
        <v>1138</v>
      </c>
      <c r="C18" s="528"/>
      <c r="D18" s="174"/>
      <c r="E18" s="174"/>
      <c r="F18" s="170"/>
      <c r="G18" s="170"/>
    </row>
    <row r="19" spans="1:7" ht="19.5" customHeight="1">
      <c r="A19" s="217"/>
      <c r="B19" s="222" t="s">
        <v>926</v>
      </c>
      <c r="C19" s="528"/>
      <c r="D19" s="174"/>
      <c r="E19" s="174"/>
      <c r="F19" s="170"/>
      <c r="G19" s="170"/>
    </row>
    <row r="20" spans="1:7" ht="19.5" customHeight="1">
      <c r="A20" s="217"/>
      <c r="B20" s="222" t="s">
        <v>834</v>
      </c>
      <c r="C20" s="528"/>
      <c r="D20" s="174"/>
      <c r="E20" s="174"/>
      <c r="F20" s="170"/>
      <c r="G20" s="170"/>
    </row>
    <row r="21" spans="1:7" ht="20.25" customHeight="1">
      <c r="A21" s="217"/>
      <c r="B21" s="222" t="s">
        <v>1151</v>
      </c>
      <c r="C21" s="528">
        <v>197000</v>
      </c>
      <c r="D21" s="172">
        <v>194000</v>
      </c>
      <c r="E21" s="172"/>
      <c r="F21" s="172">
        <v>194000</v>
      </c>
      <c r="G21" s="170"/>
    </row>
    <row r="22" spans="1:7" ht="21.75">
      <c r="A22" s="217"/>
      <c r="B22" s="222" t="s">
        <v>824</v>
      </c>
      <c r="C22" s="528"/>
      <c r="D22" s="174"/>
      <c r="E22" s="174"/>
      <c r="F22" s="170"/>
      <c r="G22" s="170"/>
    </row>
    <row r="23" spans="1:7" ht="22.5" thickBot="1">
      <c r="A23" s="526"/>
      <c r="B23" s="485" t="s">
        <v>1142</v>
      </c>
      <c r="C23" s="532">
        <f>SUM(C9:C22)</f>
        <v>412000</v>
      </c>
      <c r="D23" s="459">
        <f>SUM(D8:D22)</f>
        <v>230616.56</v>
      </c>
      <c r="E23" s="459"/>
      <c r="F23" s="459">
        <f>SUM(F10:F22)</f>
        <v>221242.56</v>
      </c>
      <c r="G23" s="459">
        <f>SUM(G13:G22)</f>
        <v>14575</v>
      </c>
    </row>
    <row r="24" spans="1:7" ht="22.5" thickTop="1">
      <c r="A24" s="112"/>
      <c r="B24" s="112"/>
      <c r="C24" s="112"/>
      <c r="D24" s="112"/>
      <c r="E24" s="112"/>
      <c r="F24" s="112"/>
      <c r="G24" s="112"/>
    </row>
    <row r="25" spans="1:7" ht="21.75">
      <c r="A25" s="112"/>
      <c r="B25" s="112"/>
      <c r="C25" s="112"/>
      <c r="D25" s="112"/>
      <c r="E25" s="112"/>
      <c r="F25" s="112"/>
      <c r="G25" s="112"/>
    </row>
    <row r="26" spans="1:7" ht="21.75">
      <c r="A26" s="112"/>
      <c r="B26" s="483"/>
      <c r="C26" s="112"/>
      <c r="D26" s="112"/>
      <c r="E26" s="112"/>
      <c r="F26" s="112"/>
      <c r="G26" s="112"/>
    </row>
    <row r="27" spans="1:6" ht="22.5">
      <c r="A27" s="112"/>
      <c r="B27" s="136" t="s">
        <v>153</v>
      </c>
      <c r="C27" s="138"/>
      <c r="D27" s="143"/>
      <c r="E27" s="143"/>
      <c r="F27" s="277"/>
    </row>
    <row r="28" spans="2:6" ht="22.5">
      <c r="B28" s="136" t="s">
        <v>480</v>
      </c>
      <c r="C28" s="138"/>
      <c r="D28" s="244"/>
      <c r="E28" s="244"/>
      <c r="F28" s="3"/>
    </row>
  </sheetData>
  <sheetProtection/>
  <mergeCells count="4">
    <mergeCell ref="A1:G1"/>
    <mergeCell ref="A2:G2"/>
    <mergeCell ref="A3:G3"/>
    <mergeCell ref="A5:B5"/>
  </mergeCells>
  <printOptions/>
  <pageMargins left="0.75" right="0.75" top="0.39" bottom="0.33" header="0.3" footer="0.1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C1">
      <selection activeCell="E14" sqref="E14"/>
    </sheetView>
  </sheetViews>
  <sheetFormatPr defaultColWidth="9.140625" defaultRowHeight="21.75"/>
  <cols>
    <col min="2" max="2" width="37.57421875" style="0" customWidth="1"/>
    <col min="3" max="3" width="29.140625" style="0" customWidth="1"/>
    <col min="4" max="4" width="31.140625" style="0" customWidth="1"/>
    <col min="5" max="5" width="33.00390625" style="0" customWidth="1"/>
  </cols>
  <sheetData>
    <row r="1" spans="1:5" ht="21.75">
      <c r="A1" s="848" t="s">
        <v>1153</v>
      </c>
      <c r="B1" s="848"/>
      <c r="C1" s="848"/>
      <c r="D1" s="848"/>
      <c r="E1" s="848"/>
    </row>
    <row r="2" spans="1:5" ht="21.75">
      <c r="A2" s="848" t="s">
        <v>956</v>
      </c>
      <c r="B2" s="848"/>
      <c r="C2" s="848"/>
      <c r="D2" s="848"/>
      <c r="E2" s="848"/>
    </row>
    <row r="3" spans="1:5" ht="21.75">
      <c r="A3" s="848" t="s">
        <v>224</v>
      </c>
      <c r="B3" s="848"/>
      <c r="C3" s="848"/>
      <c r="D3" s="848"/>
      <c r="E3" s="848"/>
    </row>
    <row r="4" ht="17.25" customHeight="1"/>
    <row r="5" spans="1:5" ht="21.75">
      <c r="A5" s="221" t="s">
        <v>1163</v>
      </c>
      <c r="B5" s="216"/>
      <c r="C5" s="167" t="s">
        <v>1131</v>
      </c>
      <c r="D5" s="167" t="s">
        <v>1142</v>
      </c>
      <c r="E5" s="167" t="s">
        <v>1138</v>
      </c>
    </row>
    <row r="6" spans="1:5" ht="21.75">
      <c r="A6" s="219"/>
      <c r="B6" s="220"/>
      <c r="C6" s="168"/>
      <c r="D6" s="168"/>
      <c r="E6" s="168"/>
    </row>
    <row r="7" spans="1:5" ht="21.75">
      <c r="A7" s="215" t="s">
        <v>911</v>
      </c>
      <c r="B7" s="216"/>
      <c r="C7" s="170"/>
      <c r="D7" s="170"/>
      <c r="E7" s="170"/>
    </row>
    <row r="8" spans="1:5" ht="18.75" customHeight="1">
      <c r="A8" s="217"/>
      <c r="B8" s="218" t="s">
        <v>125</v>
      </c>
      <c r="C8" s="172"/>
      <c r="D8" s="174"/>
      <c r="E8" s="170"/>
    </row>
    <row r="9" spans="1:5" ht="18" customHeight="1">
      <c r="A9" s="217"/>
      <c r="B9" s="222" t="s">
        <v>126</v>
      </c>
      <c r="C9" s="172"/>
      <c r="D9" s="174"/>
      <c r="E9" s="170"/>
    </row>
    <row r="10" spans="1:5" ht="19.5" customHeight="1">
      <c r="A10" s="217"/>
      <c r="B10" s="222" t="s">
        <v>1167</v>
      </c>
      <c r="C10" s="172"/>
      <c r="D10" s="174"/>
      <c r="E10" s="170"/>
    </row>
    <row r="11" spans="1:5" ht="19.5" customHeight="1">
      <c r="A11" s="217"/>
      <c r="B11" s="222" t="s">
        <v>1145</v>
      </c>
      <c r="C11" s="172"/>
      <c r="D11" s="174"/>
      <c r="E11" s="170"/>
    </row>
    <row r="12" spans="1:5" ht="19.5" customHeight="1">
      <c r="A12" s="217"/>
      <c r="B12" s="222" t="s">
        <v>1146</v>
      </c>
      <c r="C12" s="172"/>
      <c r="D12" s="174"/>
      <c r="E12" s="170"/>
    </row>
    <row r="13" spans="1:5" ht="18.75" customHeight="1">
      <c r="A13" s="217"/>
      <c r="B13" s="222" t="s">
        <v>1147</v>
      </c>
      <c r="C13" s="172"/>
      <c r="D13" s="174"/>
      <c r="E13" s="172"/>
    </row>
    <row r="14" spans="1:5" ht="20.25" customHeight="1">
      <c r="A14" s="217"/>
      <c r="B14" s="222" t="s">
        <v>1148</v>
      </c>
      <c r="C14" s="172"/>
      <c r="D14" s="174"/>
      <c r="E14" s="170"/>
    </row>
    <row r="15" spans="1:5" ht="21" customHeight="1">
      <c r="A15" s="217"/>
      <c r="B15" s="222" t="s">
        <v>1149</v>
      </c>
      <c r="C15" s="172"/>
      <c r="D15" s="174"/>
      <c r="E15" s="172"/>
    </row>
    <row r="16" spans="1:5" ht="21.75">
      <c r="A16" s="217"/>
      <c r="B16" s="222" t="s">
        <v>1152</v>
      </c>
      <c r="C16" s="172"/>
      <c r="D16" s="174"/>
      <c r="E16" s="172"/>
    </row>
    <row r="17" spans="1:5" ht="21.75">
      <c r="A17" s="217"/>
      <c r="B17" s="222" t="s">
        <v>181</v>
      </c>
      <c r="C17" s="172"/>
      <c r="D17" s="174"/>
      <c r="E17" s="170"/>
    </row>
    <row r="18" spans="1:5" ht="21.75">
      <c r="A18" s="217"/>
      <c r="B18" s="222" t="s">
        <v>1138</v>
      </c>
      <c r="C18" s="172">
        <v>2474960</v>
      </c>
      <c r="D18" s="172">
        <v>2250870</v>
      </c>
      <c r="E18" s="172">
        <v>2250870</v>
      </c>
    </row>
    <row r="19" spans="1:5" ht="21.75">
      <c r="A19" s="217"/>
      <c r="B19" s="222" t="s">
        <v>926</v>
      </c>
      <c r="C19" s="172"/>
      <c r="D19" s="174"/>
      <c r="E19" s="170"/>
    </row>
    <row r="20" spans="1:5" ht="21.75">
      <c r="A20" s="217"/>
      <c r="B20" s="222" t="s">
        <v>834</v>
      </c>
      <c r="C20" s="172"/>
      <c r="D20" s="174"/>
      <c r="E20" s="170"/>
    </row>
    <row r="21" spans="1:5" ht="21.75">
      <c r="A21" s="217"/>
      <c r="B21" s="222" t="s">
        <v>1151</v>
      </c>
      <c r="C21" s="172"/>
      <c r="D21" s="174"/>
      <c r="E21" s="170"/>
    </row>
    <row r="22" spans="1:5" ht="21.75">
      <c r="A22" s="217"/>
      <c r="B22" s="222" t="s">
        <v>824</v>
      </c>
      <c r="C22" s="172"/>
      <c r="D22" s="174"/>
      <c r="E22" s="170"/>
    </row>
    <row r="23" spans="1:5" ht="22.5" thickBot="1">
      <c r="A23" s="526"/>
      <c r="B23" s="485" t="s">
        <v>1142</v>
      </c>
      <c r="C23" s="456">
        <f>SUM(C9:C22)</f>
        <v>2474960</v>
      </c>
      <c r="D23" s="459">
        <f>SUM(D18:D22)</f>
        <v>2250870</v>
      </c>
      <c r="E23" s="459">
        <f>SUM(E8:E22)</f>
        <v>2250870</v>
      </c>
    </row>
    <row r="24" spans="1:5" ht="22.5" thickTop="1">
      <c r="A24" s="112"/>
      <c r="B24" s="112"/>
      <c r="C24" s="112"/>
      <c r="D24" s="112"/>
      <c r="E24" s="112"/>
    </row>
    <row r="25" spans="1:5" ht="21.75">
      <c r="A25" s="112"/>
      <c r="B25" s="112"/>
      <c r="C25" s="112"/>
      <c r="D25" s="112"/>
      <c r="E25" s="112"/>
    </row>
    <row r="26" spans="1:5" ht="22.5">
      <c r="A26" s="112"/>
      <c r="B26" s="136" t="s">
        <v>153</v>
      </c>
      <c r="C26" s="138"/>
      <c r="D26" s="143"/>
      <c r="E26" s="277"/>
    </row>
    <row r="27" spans="2:5" ht="22.5">
      <c r="B27" s="136" t="s">
        <v>480</v>
      </c>
      <c r="C27" s="138"/>
      <c r="D27" s="244"/>
      <c r="E27" s="3"/>
    </row>
    <row r="29" spans="2:5" ht="21.75">
      <c r="B29" s="112"/>
      <c r="C29" s="112"/>
      <c r="D29" s="112"/>
      <c r="E29" s="112"/>
    </row>
    <row r="30" spans="2:5" ht="21.75">
      <c r="B30" s="112"/>
      <c r="C30" s="112"/>
      <c r="D30" s="112"/>
      <c r="E30" s="112"/>
    </row>
    <row r="31" spans="2:5" ht="21.75">
      <c r="B31" s="112"/>
      <c r="C31" s="112"/>
      <c r="D31" s="112"/>
      <c r="E31" s="112"/>
    </row>
    <row r="32" spans="2:5" ht="21.75">
      <c r="B32" s="112"/>
      <c r="C32" s="112"/>
      <c r="D32" s="112"/>
      <c r="E32" s="112"/>
    </row>
    <row r="33" spans="2:5" ht="21.75">
      <c r="B33" s="112"/>
      <c r="C33" s="112"/>
      <c r="D33" s="112"/>
      <c r="E33" s="112"/>
    </row>
    <row r="34" spans="2:5" ht="21.75">
      <c r="B34" s="112"/>
      <c r="C34" s="112"/>
      <c r="D34" s="112"/>
      <c r="E34" s="112"/>
    </row>
    <row r="35" spans="2:5" ht="21.75">
      <c r="B35" s="112"/>
      <c r="C35" s="112"/>
      <c r="D35" s="112"/>
      <c r="E35" s="112"/>
    </row>
    <row r="36" spans="2:5" ht="21.75">
      <c r="B36" s="241"/>
      <c r="C36" s="112"/>
      <c r="D36" s="112"/>
      <c r="E36" s="112"/>
    </row>
    <row r="37" spans="2:5" ht="21.75">
      <c r="B37" s="241"/>
      <c r="C37" s="112"/>
      <c r="D37" s="112"/>
      <c r="E37" s="112"/>
    </row>
    <row r="38" spans="2:5" ht="21.75">
      <c r="B38" s="241"/>
      <c r="C38" s="112"/>
      <c r="D38" s="112"/>
      <c r="E38" s="112"/>
    </row>
    <row r="39" spans="2:5" ht="21.75">
      <c r="B39" s="241"/>
      <c r="C39" s="112"/>
      <c r="D39" s="112"/>
      <c r="E39" s="112"/>
    </row>
    <row r="40" spans="2:5" ht="21.75">
      <c r="B40" s="241"/>
      <c r="C40" s="112"/>
      <c r="D40" s="112"/>
      <c r="E40" s="112"/>
    </row>
    <row r="41" spans="2:5" ht="21.75">
      <c r="B41" s="241"/>
      <c r="C41" s="112"/>
      <c r="D41" s="112"/>
      <c r="E41" s="112"/>
    </row>
    <row r="42" spans="2:5" ht="21.75">
      <c r="B42" s="241"/>
      <c r="C42" s="112"/>
      <c r="D42" s="112"/>
      <c r="E42" s="112"/>
    </row>
    <row r="43" spans="2:5" ht="21.75">
      <c r="B43" s="241"/>
      <c r="C43" s="112"/>
      <c r="D43" s="112"/>
      <c r="E43" s="112"/>
    </row>
    <row r="44" spans="2:5" ht="21.75">
      <c r="B44" s="241"/>
      <c r="C44" s="112"/>
      <c r="D44" s="112"/>
      <c r="E44" s="112"/>
    </row>
    <row r="45" spans="2:5" ht="21.75">
      <c r="B45" s="241"/>
      <c r="C45" s="112"/>
      <c r="D45" s="112"/>
      <c r="E45" s="112"/>
    </row>
    <row r="46" spans="2:5" ht="21.75">
      <c r="B46" s="241"/>
      <c r="C46" s="112"/>
      <c r="D46" s="112"/>
      <c r="E46" s="112"/>
    </row>
    <row r="47" spans="2:5" ht="21.75">
      <c r="B47" s="241"/>
      <c r="C47" s="112"/>
      <c r="D47" s="112"/>
      <c r="E47" s="112"/>
    </row>
    <row r="48" spans="2:5" ht="21.75">
      <c r="B48" s="241"/>
      <c r="C48" s="112"/>
      <c r="D48" s="112"/>
      <c r="E48" s="112"/>
    </row>
    <row r="49" spans="2:5" ht="21.75">
      <c r="B49" s="241"/>
      <c r="C49" s="112"/>
      <c r="D49" s="112"/>
      <c r="E49" s="112"/>
    </row>
    <row r="50" spans="2:5" ht="21.75">
      <c r="B50" s="112"/>
      <c r="C50" s="112"/>
      <c r="D50" s="112"/>
      <c r="E50" s="112"/>
    </row>
    <row r="51" spans="2:5" ht="21.75">
      <c r="B51" s="112"/>
      <c r="C51" s="112"/>
      <c r="D51" s="112"/>
      <c r="E51" s="112"/>
    </row>
    <row r="52" spans="2:5" ht="21.75">
      <c r="B52" s="112"/>
      <c r="C52" s="112"/>
      <c r="D52" s="112"/>
      <c r="E52" s="112"/>
    </row>
    <row r="53" spans="2:5" ht="21.75">
      <c r="B53" s="112"/>
      <c r="C53" s="112"/>
      <c r="D53" s="112"/>
      <c r="E53" s="112"/>
    </row>
  </sheetData>
  <sheetProtection/>
  <mergeCells count="3">
    <mergeCell ref="A1:E1"/>
    <mergeCell ref="A2:E2"/>
    <mergeCell ref="A3:E3"/>
  </mergeCells>
  <printOptions/>
  <pageMargins left="0.75" right="0.69" top="0.34" bottom="0.5" header="0.17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2">
      <selection activeCell="I16" sqref="I16"/>
    </sheetView>
  </sheetViews>
  <sheetFormatPr defaultColWidth="9.140625" defaultRowHeight="21.75"/>
  <cols>
    <col min="2" max="2" width="10.28125" style="0" customWidth="1"/>
    <col min="8" max="8" width="12.00390625" style="0" customWidth="1"/>
    <col min="9" max="9" width="16.421875" style="0" customWidth="1"/>
  </cols>
  <sheetData>
    <row r="1" ht="21.75">
      <c r="A1" t="s">
        <v>957</v>
      </c>
    </row>
    <row r="3" spans="1:9" ht="22.5">
      <c r="A3" s="837" t="s">
        <v>851</v>
      </c>
      <c r="B3" s="837"/>
      <c r="C3" s="837"/>
      <c r="D3" s="837"/>
      <c r="E3" s="837"/>
      <c r="F3" s="837"/>
      <c r="G3" s="837"/>
      <c r="H3" s="837"/>
      <c r="I3" s="837"/>
    </row>
    <row r="4" spans="1:9" ht="22.5">
      <c r="A4" s="135"/>
      <c r="B4" s="135"/>
      <c r="C4" s="135"/>
      <c r="D4" s="135"/>
      <c r="E4" s="135"/>
      <c r="F4" s="135"/>
      <c r="G4" s="135"/>
      <c r="H4" s="135"/>
      <c r="I4" s="135"/>
    </row>
    <row r="5" ht="21.75">
      <c r="B5" t="s">
        <v>958</v>
      </c>
    </row>
    <row r="6" spans="3:9" ht="21.75">
      <c r="C6" t="s">
        <v>517</v>
      </c>
      <c r="I6" s="110"/>
    </row>
    <row r="7" spans="3:9" ht="21.75">
      <c r="C7" t="s">
        <v>517</v>
      </c>
      <c r="I7" s="110"/>
    </row>
    <row r="8" spans="8:9" ht="22.5" thickBot="1">
      <c r="H8" t="s">
        <v>1142</v>
      </c>
      <c r="I8" s="177">
        <f>SUM(I6:I7)</f>
        <v>0</v>
      </c>
    </row>
    <row r="9" ht="22.5" thickTop="1"/>
    <row r="11" ht="21.75">
      <c r="C11" t="s">
        <v>959</v>
      </c>
    </row>
    <row r="12" spans="3:9" ht="21.75">
      <c r="C12" t="s">
        <v>96</v>
      </c>
      <c r="I12" s="110">
        <v>704000</v>
      </c>
    </row>
    <row r="13" spans="3:9" ht="21.75">
      <c r="C13" t="s">
        <v>95</v>
      </c>
      <c r="I13" s="110">
        <v>366500</v>
      </c>
    </row>
    <row r="14" spans="3:9" ht="21.75">
      <c r="C14" t="s">
        <v>94</v>
      </c>
      <c r="I14" s="110">
        <v>135000</v>
      </c>
    </row>
    <row r="15" spans="3:9" ht="21.75">
      <c r="C15" t="s">
        <v>93</v>
      </c>
      <c r="I15" s="110">
        <v>194000</v>
      </c>
    </row>
    <row r="16" spans="8:9" ht="22.5" thickBot="1">
      <c r="H16" t="s">
        <v>1142</v>
      </c>
      <c r="I16" s="177">
        <f>SUM(I12:I15)</f>
        <v>1399500</v>
      </c>
    </row>
    <row r="17" ht="22.5" thickTop="1"/>
    <row r="18" ht="21.75">
      <c r="B18" t="s">
        <v>960</v>
      </c>
    </row>
    <row r="19" ht="21.75">
      <c r="C19" t="s">
        <v>961</v>
      </c>
    </row>
    <row r="20" spans="3:9" ht="21.75">
      <c r="C20" t="s">
        <v>979</v>
      </c>
      <c r="I20" s="110"/>
    </row>
    <row r="21" ht="21.75">
      <c r="C21" t="s">
        <v>962</v>
      </c>
    </row>
    <row r="22" ht="21.75">
      <c r="C22" t="s">
        <v>962</v>
      </c>
    </row>
    <row r="23" ht="21.75">
      <c r="C23" t="s">
        <v>962</v>
      </c>
    </row>
    <row r="24" ht="21.75">
      <c r="C24" t="s">
        <v>962</v>
      </c>
    </row>
    <row r="25" ht="21.75">
      <c r="C25" t="s">
        <v>962</v>
      </c>
    </row>
    <row r="26" spans="8:9" ht="22.5" thickBot="1">
      <c r="H26" t="s">
        <v>1142</v>
      </c>
      <c r="I26" s="177">
        <f>SUM(I20:I25)</f>
        <v>0</v>
      </c>
    </row>
    <row r="27" ht="22.5" thickTop="1"/>
    <row r="29" spans="2:4" ht="22.5">
      <c r="B29" s="136" t="s">
        <v>361</v>
      </c>
      <c r="C29" s="138"/>
      <c r="D29" s="143"/>
    </row>
    <row r="30" spans="2:4" ht="22.5">
      <c r="B30" s="136" t="s">
        <v>362</v>
      </c>
      <c r="C30" s="138"/>
      <c r="D30" s="244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B1">
      <selection activeCell="K9" sqref="K9"/>
    </sheetView>
  </sheetViews>
  <sheetFormatPr defaultColWidth="9.140625" defaultRowHeight="21.75"/>
  <cols>
    <col min="1" max="1" width="6.28125" style="0" customWidth="1"/>
    <col min="2" max="2" width="19.421875" style="0" customWidth="1"/>
    <col min="3" max="3" width="12.421875" style="0" customWidth="1"/>
    <col min="4" max="4" width="13.7109375" style="0" customWidth="1"/>
    <col min="5" max="5" width="11.00390625" style="0" customWidth="1"/>
    <col min="9" max="9" width="10.8515625" style="0" customWidth="1"/>
    <col min="11" max="11" width="10.421875" style="0" customWidth="1"/>
    <col min="12" max="12" width="11.28125" style="0" customWidth="1"/>
    <col min="13" max="13" width="9.28125" style="0" customWidth="1"/>
    <col min="14" max="14" width="11.8515625" style="0" customWidth="1"/>
  </cols>
  <sheetData>
    <row r="1" spans="1:15" ht="23.25">
      <c r="A1" s="897" t="s">
        <v>1153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753"/>
    </row>
    <row r="2" spans="1:15" ht="24.75" customHeight="1">
      <c r="A2" s="898" t="s">
        <v>963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754"/>
    </row>
    <row r="3" spans="1:15" ht="24.75" customHeight="1">
      <c r="A3" s="898" t="s">
        <v>515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754"/>
    </row>
    <row r="4" spans="1:15" ht="21.75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900"/>
    </row>
    <row r="5" spans="1:15" ht="21.75">
      <c r="A5" s="894" t="s">
        <v>1131</v>
      </c>
      <c r="B5" s="893"/>
      <c r="C5" s="182" t="s">
        <v>1131</v>
      </c>
      <c r="D5" s="183" t="s">
        <v>1142</v>
      </c>
      <c r="E5" s="182" t="s">
        <v>892</v>
      </c>
      <c r="F5" s="184" t="s">
        <v>893</v>
      </c>
      <c r="G5" s="182" t="s">
        <v>898</v>
      </c>
      <c r="H5" s="184" t="s">
        <v>899</v>
      </c>
      <c r="I5" s="182" t="s">
        <v>900</v>
      </c>
      <c r="J5" s="184" t="s">
        <v>901</v>
      </c>
      <c r="K5" s="182" t="s">
        <v>904</v>
      </c>
      <c r="L5" s="184" t="s">
        <v>905</v>
      </c>
      <c r="M5" s="182" t="s">
        <v>906</v>
      </c>
      <c r="N5" s="181" t="s">
        <v>1138</v>
      </c>
      <c r="O5" s="184"/>
    </row>
    <row r="6" spans="1:15" ht="21.75">
      <c r="A6" s="895"/>
      <c r="B6" s="896"/>
      <c r="C6" s="185"/>
      <c r="D6" s="185"/>
      <c r="E6" s="186" t="s">
        <v>907</v>
      </c>
      <c r="F6" s="187" t="s">
        <v>908</v>
      </c>
      <c r="G6" s="188"/>
      <c r="H6" s="187"/>
      <c r="I6" s="188"/>
      <c r="J6" s="189"/>
      <c r="K6" s="188" t="s">
        <v>909</v>
      </c>
      <c r="L6" s="187" t="s">
        <v>910</v>
      </c>
      <c r="M6" s="188"/>
      <c r="N6" s="185"/>
      <c r="O6" s="466"/>
    </row>
    <row r="7" spans="1:15" ht="21.75">
      <c r="A7" s="215" t="s">
        <v>911</v>
      </c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25"/>
      <c r="O7" s="466"/>
    </row>
    <row r="8" spans="1:15" ht="25.5" customHeight="1">
      <c r="A8" s="217"/>
      <c r="B8" s="475" t="s">
        <v>1246</v>
      </c>
      <c r="C8" s="536">
        <f>2341840</f>
        <v>2341840</v>
      </c>
      <c r="D8" s="397">
        <f>SUM(E8:N8)</f>
        <v>2324940</v>
      </c>
      <c r="E8" s="403">
        <v>2324940</v>
      </c>
      <c r="F8" s="397"/>
      <c r="G8" s="397"/>
      <c r="H8" s="397"/>
      <c r="I8" s="397"/>
      <c r="J8" s="397"/>
      <c r="K8" s="397"/>
      <c r="L8" s="397"/>
      <c r="M8" s="397"/>
      <c r="N8" s="397"/>
      <c r="O8" s="184"/>
    </row>
    <row r="9" spans="1:15" ht="24.75" customHeight="1">
      <c r="A9" s="217"/>
      <c r="B9" s="475" t="s">
        <v>1247</v>
      </c>
      <c r="C9" s="536">
        <f>1548000+149000+144000+576000</f>
        <v>2417000</v>
      </c>
      <c r="D9" s="397">
        <f aca="true" t="shared" si="0" ref="D9:D21">SUM(E9:N9)</f>
        <v>2226611</v>
      </c>
      <c r="E9" s="403">
        <f>1442800</f>
        <v>1442800</v>
      </c>
      <c r="F9" s="397"/>
      <c r="G9" s="397">
        <v>140400</v>
      </c>
      <c r="H9" s="397"/>
      <c r="I9" s="397">
        <v>92371</v>
      </c>
      <c r="J9" s="397">
        <v>551040</v>
      </c>
      <c r="K9" s="397"/>
      <c r="L9" s="397"/>
      <c r="M9" s="397"/>
      <c r="N9" s="397"/>
      <c r="O9" s="184"/>
    </row>
    <row r="10" spans="1:15" ht="23.25" customHeight="1">
      <c r="A10" s="217"/>
      <c r="B10" s="476" t="s">
        <v>1167</v>
      </c>
      <c r="C10" s="537">
        <f>127000</f>
        <v>127000</v>
      </c>
      <c r="D10" s="397">
        <f t="shared" si="0"/>
        <v>261060</v>
      </c>
      <c r="E10" s="400">
        <v>124140</v>
      </c>
      <c r="F10" s="398"/>
      <c r="G10" s="398"/>
      <c r="H10" s="399"/>
      <c r="I10" s="399"/>
      <c r="J10" s="399"/>
      <c r="K10" s="398"/>
      <c r="L10" s="398"/>
      <c r="M10" s="397">
        <v>136920</v>
      </c>
      <c r="N10" s="398"/>
      <c r="O10" s="184"/>
    </row>
    <row r="11" spans="1:15" ht="25.5" customHeight="1">
      <c r="A11" s="217"/>
      <c r="B11" s="476" t="s">
        <v>1145</v>
      </c>
      <c r="C11" s="537">
        <f>316500+24500+110000</f>
        <v>451000</v>
      </c>
      <c r="D11" s="397">
        <f t="shared" si="0"/>
        <v>803100</v>
      </c>
      <c r="E11" s="399">
        <f>266580</f>
        <v>266580</v>
      </c>
      <c r="F11" s="399"/>
      <c r="G11" s="399">
        <f>19620+418500</f>
        <v>438120</v>
      </c>
      <c r="H11" s="399"/>
      <c r="I11" s="399"/>
      <c r="J11" s="399">
        <v>98400</v>
      </c>
      <c r="K11" s="398"/>
      <c r="L11" s="398"/>
      <c r="M11" s="398"/>
      <c r="N11" s="398"/>
      <c r="O11" s="184"/>
    </row>
    <row r="12" spans="1:15" ht="24.75" customHeight="1">
      <c r="A12" s="217"/>
      <c r="B12" s="476" t="s">
        <v>1146</v>
      </c>
      <c r="C12" s="537">
        <f>1260000+60000+25000+10000+55000+135000</f>
        <v>1545000</v>
      </c>
      <c r="D12" s="397">
        <f t="shared" si="0"/>
        <v>1070015.5</v>
      </c>
      <c r="E12" s="400">
        <f>211090.5+772500</f>
        <v>983590.5</v>
      </c>
      <c r="F12" s="399">
        <v>45800</v>
      </c>
      <c r="G12" s="399">
        <v>6600</v>
      </c>
      <c r="H12" s="399"/>
      <c r="I12" s="399"/>
      <c r="J12" s="399">
        <v>28824</v>
      </c>
      <c r="K12" s="398"/>
      <c r="L12" s="398"/>
      <c r="M12" s="399">
        <v>5201</v>
      </c>
      <c r="N12" s="398"/>
      <c r="O12" s="494"/>
    </row>
    <row r="13" spans="1:15" ht="21.75">
      <c r="A13" s="217"/>
      <c r="B13" s="476" t="s">
        <v>1147</v>
      </c>
      <c r="C13" s="537">
        <f>1745000+225000+557400+30000+80000+835000+244000+655000+145000</f>
        <v>4516400</v>
      </c>
      <c r="D13" s="397">
        <f t="shared" si="0"/>
        <v>2932369.77</v>
      </c>
      <c r="E13" s="399">
        <v>983724.13</v>
      </c>
      <c r="F13" s="400">
        <v>163194</v>
      </c>
      <c r="G13" s="399">
        <f>406658+16800+7800</f>
        <v>431258</v>
      </c>
      <c r="H13" s="399"/>
      <c r="I13" s="399">
        <f>53104+18392</f>
        <v>71496</v>
      </c>
      <c r="J13" s="397">
        <v>588527.95</v>
      </c>
      <c r="K13" s="399">
        <v>145300.69</v>
      </c>
      <c r="L13" s="399">
        <v>534294</v>
      </c>
      <c r="M13" s="399">
        <v>14575</v>
      </c>
      <c r="N13" s="398"/>
      <c r="O13" s="184"/>
    </row>
    <row r="14" spans="1:15" ht="21.75">
      <c r="A14" s="217"/>
      <c r="B14" s="476" t="s">
        <v>1148</v>
      </c>
      <c r="C14" s="537">
        <f>420000+165000+1147040+100000+740000</f>
        <v>2572040</v>
      </c>
      <c r="D14" s="397">
        <f t="shared" si="0"/>
        <v>2147831.4</v>
      </c>
      <c r="E14" s="400">
        <v>351472.7</v>
      </c>
      <c r="F14" s="399">
        <v>129649</v>
      </c>
      <c r="G14" s="399">
        <f>1054765.8+18000</f>
        <v>1072765.8</v>
      </c>
      <c r="H14" s="399">
        <v>52600</v>
      </c>
      <c r="I14" s="399"/>
      <c r="J14" s="399">
        <f>317343.9+224000</f>
        <v>541343.9</v>
      </c>
      <c r="K14" s="399"/>
      <c r="L14" s="399"/>
      <c r="M14" s="398"/>
      <c r="N14" s="398"/>
      <c r="O14" s="184"/>
    </row>
    <row r="15" spans="1:15" ht="21.75">
      <c r="A15" s="217"/>
      <c r="B15" s="476" t="s">
        <v>1149</v>
      </c>
      <c r="C15" s="537">
        <f>225000+5000+70000</f>
        <v>300000</v>
      </c>
      <c r="D15" s="397">
        <f t="shared" si="0"/>
        <v>183012.19</v>
      </c>
      <c r="E15" s="400">
        <v>160970.63</v>
      </c>
      <c r="F15" s="399"/>
      <c r="G15" s="399"/>
      <c r="H15" s="399"/>
      <c r="I15" s="399"/>
      <c r="J15" s="399"/>
      <c r="K15" s="399"/>
      <c r="L15" s="399"/>
      <c r="M15" s="399">
        <v>22041.56</v>
      </c>
      <c r="N15" s="398"/>
      <c r="O15" s="184"/>
    </row>
    <row r="16" spans="1:15" ht="21.75">
      <c r="A16" s="217"/>
      <c r="B16" s="476" t="s">
        <v>1152</v>
      </c>
      <c r="C16" s="537">
        <f>1210160+120000+90000</f>
        <v>1420160</v>
      </c>
      <c r="D16" s="397">
        <f t="shared" si="0"/>
        <v>1412660</v>
      </c>
      <c r="E16" s="399"/>
      <c r="F16" s="399"/>
      <c r="G16" s="399">
        <v>1210160</v>
      </c>
      <c r="H16" s="399">
        <v>120000</v>
      </c>
      <c r="I16" s="399"/>
      <c r="J16" s="399"/>
      <c r="K16" s="399"/>
      <c r="L16" s="399">
        <v>82500</v>
      </c>
      <c r="M16" s="399"/>
      <c r="N16" s="399"/>
      <c r="O16" s="184"/>
    </row>
    <row r="17" spans="1:15" ht="26.25" customHeight="1">
      <c r="A17" s="217"/>
      <c r="B17" s="476" t="s">
        <v>181</v>
      </c>
      <c r="C17" s="537">
        <v>30000</v>
      </c>
      <c r="D17" s="397">
        <f t="shared" si="0"/>
        <v>25000</v>
      </c>
      <c r="E17" s="399">
        <v>25000</v>
      </c>
      <c r="F17" s="399"/>
      <c r="G17" s="399"/>
      <c r="H17" s="533"/>
      <c r="I17" s="399"/>
      <c r="J17" s="399"/>
      <c r="K17" s="399"/>
      <c r="L17" s="399"/>
      <c r="M17" s="399"/>
      <c r="N17" s="399"/>
      <c r="O17" s="184"/>
    </row>
    <row r="18" spans="1:15" ht="22.5" customHeight="1">
      <c r="A18" s="217"/>
      <c r="B18" s="476" t="s">
        <v>1138</v>
      </c>
      <c r="C18" s="537">
        <v>2474960</v>
      </c>
      <c r="D18" s="397">
        <f t="shared" si="0"/>
        <v>10454295</v>
      </c>
      <c r="E18" s="398"/>
      <c r="F18" s="399"/>
      <c r="G18" s="399"/>
      <c r="H18" s="399"/>
      <c r="I18" s="399"/>
      <c r="J18" s="399"/>
      <c r="K18" s="399"/>
      <c r="L18" s="399"/>
      <c r="M18" s="399"/>
      <c r="N18" s="399">
        <f>2124400+8203425+126470</f>
        <v>10454295</v>
      </c>
      <c r="O18" s="184"/>
    </row>
    <row r="19" spans="1:15" ht="23.25" customHeight="1">
      <c r="A19" s="217"/>
      <c r="B19" s="476" t="s">
        <v>912</v>
      </c>
      <c r="C19" s="537">
        <f>263600</f>
        <v>263600</v>
      </c>
      <c r="D19" s="397">
        <f t="shared" si="0"/>
        <v>103600</v>
      </c>
      <c r="E19" s="399">
        <v>103600</v>
      </c>
      <c r="F19" s="534"/>
      <c r="G19" s="399"/>
      <c r="H19" s="399"/>
      <c r="I19" s="399"/>
      <c r="J19" s="399"/>
      <c r="K19" s="399"/>
      <c r="L19" s="399"/>
      <c r="M19" s="399"/>
      <c r="N19" s="399"/>
      <c r="O19" s="494"/>
    </row>
    <row r="20" spans="1:15" ht="28.5" customHeight="1">
      <c r="A20" s="219"/>
      <c r="B20" s="493" t="s">
        <v>913</v>
      </c>
      <c r="C20" s="537">
        <f>840000+504000+197000</f>
        <v>1541000</v>
      </c>
      <c r="D20" s="404">
        <f t="shared" si="0"/>
        <v>1399500</v>
      </c>
      <c r="E20" s="404">
        <v>704000</v>
      </c>
      <c r="F20" s="399"/>
      <c r="G20" s="399"/>
      <c r="H20" s="399"/>
      <c r="I20" s="399"/>
      <c r="J20" s="399">
        <v>501500</v>
      </c>
      <c r="K20" s="399"/>
      <c r="L20" s="399"/>
      <c r="M20" s="399">
        <v>194000</v>
      </c>
      <c r="N20" s="399"/>
      <c r="O20" s="184"/>
    </row>
    <row r="21" spans="1:15" ht="22.5" thickBot="1">
      <c r="A21" s="480"/>
      <c r="B21" s="477" t="s">
        <v>914</v>
      </c>
      <c r="C21" s="742">
        <f>SUM(C7:C20)</f>
        <v>20000000</v>
      </c>
      <c r="D21" s="535">
        <f t="shared" si="0"/>
        <v>25343994.86</v>
      </c>
      <c r="E21" s="402">
        <f>SUM(E8:E20)</f>
        <v>7470817.96</v>
      </c>
      <c r="F21" s="402">
        <f aca="true" t="shared" si="1" ref="F21:N21">SUM(F8:F20)</f>
        <v>338643</v>
      </c>
      <c r="G21" s="402">
        <f t="shared" si="1"/>
        <v>3299303.8</v>
      </c>
      <c r="H21" s="402">
        <f t="shared" si="1"/>
        <v>172600</v>
      </c>
      <c r="I21" s="402">
        <f t="shared" si="1"/>
        <v>163867</v>
      </c>
      <c r="J21" s="402">
        <f t="shared" si="1"/>
        <v>2309635.85</v>
      </c>
      <c r="K21" s="402">
        <f t="shared" si="1"/>
        <v>145300.69</v>
      </c>
      <c r="L21" s="402">
        <f t="shared" si="1"/>
        <v>616794</v>
      </c>
      <c r="M21" s="402">
        <f t="shared" si="1"/>
        <v>372737.56</v>
      </c>
      <c r="N21" s="478">
        <f t="shared" si="1"/>
        <v>10454295</v>
      </c>
      <c r="O21" s="494"/>
    </row>
    <row r="22" spans="1:15" ht="22.5" thickTop="1">
      <c r="A22" s="466"/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 t="s">
        <v>1126</v>
      </c>
      <c r="O22" s="494"/>
    </row>
    <row r="23" spans="1:15" ht="21.75">
      <c r="A23" s="189"/>
      <c r="B23" s="495"/>
      <c r="C23" s="496"/>
      <c r="D23" s="187"/>
      <c r="E23" s="496"/>
      <c r="F23" s="496"/>
      <c r="G23" s="496"/>
      <c r="H23" s="496"/>
      <c r="I23" s="496"/>
      <c r="J23" s="496"/>
      <c r="K23" s="496"/>
      <c r="L23" s="496"/>
      <c r="M23" s="496"/>
      <c r="N23" s="496" t="s">
        <v>1126</v>
      </c>
      <c r="O23" s="494"/>
    </row>
    <row r="24" spans="1:15" ht="21.75">
      <c r="A24" s="761" t="s">
        <v>204</v>
      </c>
      <c r="B24" s="758"/>
      <c r="C24" s="223"/>
      <c r="D24" s="223"/>
      <c r="E24" s="223"/>
      <c r="F24" s="223"/>
      <c r="G24" s="406"/>
      <c r="H24" s="406"/>
      <c r="I24" s="406"/>
      <c r="J24" s="223"/>
      <c r="K24" s="223"/>
      <c r="L24" s="223"/>
      <c r="M24" s="223"/>
      <c r="N24" s="788"/>
      <c r="O24" s="466"/>
    </row>
    <row r="25" spans="1:15" ht="21.75">
      <c r="A25" s="762"/>
      <c r="B25" s="476" t="s">
        <v>205</v>
      </c>
      <c r="C25" s="235">
        <v>435000</v>
      </c>
      <c r="D25" s="192">
        <v>573838.04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466"/>
    </row>
    <row r="26" spans="1:15" ht="21.75">
      <c r="A26" s="762"/>
      <c r="B26" s="476" t="s">
        <v>915</v>
      </c>
      <c r="C26" s="235">
        <v>84500</v>
      </c>
      <c r="D26" s="192">
        <v>120190.87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202"/>
    </row>
    <row r="27" spans="1:15" ht="21.75">
      <c r="A27" s="762"/>
      <c r="B27" s="476" t="s">
        <v>1170</v>
      </c>
      <c r="C27" s="235">
        <v>50000</v>
      </c>
      <c r="D27" s="192">
        <v>104786.7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02"/>
    </row>
    <row r="28" spans="1:15" ht="21.75">
      <c r="A28" s="762"/>
      <c r="B28" s="476" t="s">
        <v>916</v>
      </c>
      <c r="C28" s="235">
        <v>0</v>
      </c>
      <c r="D28" s="192">
        <v>46488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202"/>
    </row>
    <row r="29" spans="1:15" ht="21.75">
      <c r="A29" s="762"/>
      <c r="B29" s="476" t="s">
        <v>207</v>
      </c>
      <c r="C29" s="235">
        <v>166000</v>
      </c>
      <c r="D29" s="192">
        <v>84550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202"/>
    </row>
    <row r="30" spans="1:15" ht="21.75">
      <c r="A30" s="762"/>
      <c r="B30" s="476" t="s">
        <v>917</v>
      </c>
      <c r="C30" s="235">
        <v>0</v>
      </c>
      <c r="D30" s="194">
        <v>0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202"/>
    </row>
    <row r="31" spans="1:15" ht="21.75">
      <c r="A31" s="762"/>
      <c r="B31" s="476" t="s">
        <v>918</v>
      </c>
      <c r="C31" s="236">
        <v>11911500</v>
      </c>
      <c r="D31" s="194">
        <v>14483349.05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202"/>
    </row>
    <row r="32" spans="1:15" ht="21.75">
      <c r="A32" s="762"/>
      <c r="B32" s="476" t="s">
        <v>919</v>
      </c>
      <c r="C32" s="235">
        <v>7353000</v>
      </c>
      <c r="D32" s="192">
        <v>7608859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202"/>
    </row>
    <row r="33" spans="1:15" ht="21.75">
      <c r="A33" s="762"/>
      <c r="B33" s="476" t="s">
        <v>920</v>
      </c>
      <c r="C33" s="236" t="s">
        <v>1126</v>
      </c>
      <c r="D33" s="194" t="s">
        <v>1126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202"/>
    </row>
    <row r="34" spans="1:15" ht="21.75">
      <c r="A34" s="762"/>
      <c r="B34" s="759" t="s">
        <v>441</v>
      </c>
      <c r="C34" s="237"/>
      <c r="D34" s="195">
        <v>8800438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202"/>
    </row>
    <row r="35" spans="1:15" ht="22.5" thickBot="1">
      <c r="A35" s="763"/>
      <c r="B35" s="760" t="s">
        <v>921</v>
      </c>
      <c r="C35" s="238">
        <f>SUM(C25:C34)</f>
        <v>20000000</v>
      </c>
      <c r="D35" s="197">
        <f>SUM(D25:D34)</f>
        <v>31822499.66</v>
      </c>
      <c r="E35" s="198"/>
      <c r="F35" s="198"/>
      <c r="G35" s="198"/>
      <c r="H35" s="198"/>
      <c r="I35" s="198"/>
      <c r="J35" s="198"/>
      <c r="K35" s="198"/>
      <c r="L35" s="198"/>
      <c r="M35" s="198"/>
      <c r="N35" s="757"/>
      <c r="O35" s="202"/>
    </row>
    <row r="36" spans="1:15" ht="23.25" thickBot="1" thickTop="1">
      <c r="A36" s="184"/>
      <c r="B36" s="184" t="s">
        <v>922</v>
      </c>
      <c r="C36" s="199"/>
      <c r="D36" s="200">
        <f>SUM(D35-D21)</f>
        <v>6478504.800000001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2"/>
      <c r="O36" s="201"/>
    </row>
    <row r="37" spans="1:15" ht="22.5" thickTop="1">
      <c r="A37" s="184"/>
      <c r="B37" s="199"/>
      <c r="C37" s="203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2"/>
      <c r="O37" s="201"/>
    </row>
    <row r="38" spans="1:15" ht="21.75">
      <c r="A38" s="184"/>
      <c r="B38" s="199"/>
      <c r="C38" s="203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2"/>
      <c r="O38" s="201"/>
    </row>
    <row r="39" spans="1:15" ht="21.75">
      <c r="A39" s="184"/>
      <c r="B39" s="199"/>
      <c r="C39" s="203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2"/>
      <c r="O39" s="201"/>
    </row>
    <row r="40" spans="1:15" ht="21.75">
      <c r="A40" s="184"/>
      <c r="B40" s="199"/>
      <c r="C40" s="203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2"/>
      <c r="O40" s="201"/>
    </row>
    <row r="41" spans="1:15" ht="22.5">
      <c r="A41" s="184"/>
      <c r="B41" s="136" t="s">
        <v>153</v>
      </c>
      <c r="C41" s="138"/>
      <c r="D41" s="143"/>
      <c r="E41" s="277"/>
      <c r="F41" s="201"/>
      <c r="G41" s="201"/>
      <c r="H41" s="201"/>
      <c r="I41" s="201"/>
      <c r="J41" s="201"/>
      <c r="K41" s="201"/>
      <c r="L41" s="201"/>
      <c r="M41" s="201"/>
      <c r="N41" s="202"/>
      <c r="O41" s="201"/>
    </row>
    <row r="42" spans="1:15" ht="22.5">
      <c r="A42" s="184"/>
      <c r="B42" s="136" t="s">
        <v>490</v>
      </c>
      <c r="C42" s="138"/>
      <c r="D42" s="244"/>
      <c r="E42" s="3"/>
      <c r="F42" s="201"/>
      <c r="G42" s="201"/>
      <c r="H42" s="201"/>
      <c r="I42" s="201"/>
      <c r="J42" s="201"/>
      <c r="K42" s="201"/>
      <c r="L42" s="201"/>
      <c r="M42" s="201"/>
      <c r="N42" s="202"/>
      <c r="O42" s="201"/>
    </row>
  </sheetData>
  <sheetProtection/>
  <mergeCells count="6">
    <mergeCell ref="A5:B5"/>
    <mergeCell ref="A6:B6"/>
    <mergeCell ref="A1:N1"/>
    <mergeCell ref="A2:N2"/>
    <mergeCell ref="A3:N3"/>
    <mergeCell ref="A4:O4"/>
  </mergeCells>
  <printOptions/>
  <pageMargins left="0.48" right="0.14" top="0.63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3" sqref="D23"/>
    </sheetView>
  </sheetViews>
  <sheetFormatPr defaultColWidth="9.140625" defaultRowHeight="21.75"/>
  <cols>
    <col min="1" max="1" width="22.421875" style="0" customWidth="1"/>
    <col min="2" max="2" width="16.140625" style="0" customWidth="1"/>
    <col min="3" max="3" width="17.00390625" style="0" customWidth="1"/>
    <col min="4" max="4" width="18.28125" style="0" customWidth="1"/>
    <col min="5" max="5" width="19.7109375" style="0" customWidth="1"/>
    <col min="6" max="6" width="17.00390625" style="0" customWidth="1"/>
    <col min="7" max="7" width="13.7109375" style="0" customWidth="1"/>
    <col min="8" max="8" width="16.00390625" style="0" customWidth="1"/>
  </cols>
  <sheetData>
    <row r="1" spans="1:8" ht="18" customHeight="1">
      <c r="A1" s="848" t="s">
        <v>1153</v>
      </c>
      <c r="B1" s="848"/>
      <c r="C1" s="848"/>
      <c r="D1" s="848"/>
      <c r="E1" s="848"/>
      <c r="F1" s="848"/>
      <c r="G1" s="848"/>
      <c r="H1" s="848"/>
    </row>
    <row r="2" spans="1:8" ht="27.75" customHeight="1">
      <c r="A2" s="848" t="s">
        <v>964</v>
      </c>
      <c r="B2" s="848"/>
      <c r="C2" s="848"/>
      <c r="D2" s="848"/>
      <c r="E2" s="848"/>
      <c r="F2" s="848"/>
      <c r="G2" s="848"/>
      <c r="H2" s="848"/>
    </row>
    <row r="3" spans="1:8" ht="25.5" customHeight="1">
      <c r="A3" s="848" t="s">
        <v>481</v>
      </c>
      <c r="B3" s="848"/>
      <c r="C3" s="848"/>
      <c r="D3" s="848"/>
      <c r="E3" s="848"/>
      <c r="F3" s="848"/>
      <c r="G3" s="848"/>
      <c r="H3" s="848"/>
    </row>
    <row r="4" spans="1:8" ht="21.75">
      <c r="A4" s="178"/>
      <c r="B4" s="178" t="s">
        <v>1142</v>
      </c>
      <c r="C4" s="850" t="s">
        <v>820</v>
      </c>
      <c r="D4" s="851"/>
      <c r="E4" s="850" t="s">
        <v>821</v>
      </c>
      <c r="F4" s="851"/>
      <c r="G4" s="850" t="s">
        <v>1039</v>
      </c>
      <c r="H4" s="851"/>
    </row>
    <row r="5" spans="1:8" ht="21.75">
      <c r="A5" s="168"/>
      <c r="B5" s="168"/>
      <c r="C5" s="179" t="s">
        <v>928</v>
      </c>
      <c r="D5" s="179" t="s">
        <v>1040</v>
      </c>
      <c r="E5" s="179" t="s">
        <v>944</v>
      </c>
      <c r="F5" s="179" t="s">
        <v>1040</v>
      </c>
      <c r="G5" s="179" t="s">
        <v>1040</v>
      </c>
      <c r="H5" s="179" t="s">
        <v>1040</v>
      </c>
    </row>
    <row r="6" spans="1:8" ht="18.75" customHeight="1">
      <c r="A6" s="178" t="s">
        <v>911</v>
      </c>
      <c r="B6" s="178"/>
      <c r="C6" s="178"/>
      <c r="D6" s="178"/>
      <c r="E6" s="178"/>
      <c r="F6" s="178"/>
      <c r="G6" s="178"/>
      <c r="H6" s="178"/>
    </row>
    <row r="7" spans="1:8" ht="18" customHeight="1">
      <c r="A7" s="491" t="s">
        <v>1144</v>
      </c>
      <c r="B7" s="225"/>
      <c r="C7" s="228"/>
      <c r="D7" s="225"/>
      <c r="E7" s="228"/>
      <c r="F7" s="225"/>
      <c r="G7" s="225"/>
      <c r="H7" s="225"/>
    </row>
    <row r="8" spans="1:8" ht="19.5" customHeight="1">
      <c r="A8" s="491" t="s">
        <v>1167</v>
      </c>
      <c r="B8" s="225"/>
      <c r="C8" s="228"/>
      <c r="D8" s="225"/>
      <c r="E8" s="228"/>
      <c r="F8" s="225"/>
      <c r="G8" s="225"/>
      <c r="H8" s="225"/>
    </row>
    <row r="9" spans="1:8" ht="20.25" customHeight="1">
      <c r="A9" s="491" t="s">
        <v>1145</v>
      </c>
      <c r="B9" s="225"/>
      <c r="C9" s="228"/>
      <c r="D9" s="225"/>
      <c r="E9" s="228"/>
      <c r="F9" s="225"/>
      <c r="G9" s="225"/>
      <c r="H9" s="225"/>
    </row>
    <row r="10" spans="1:8" ht="18.75" customHeight="1">
      <c r="A10" s="491" t="s">
        <v>1146</v>
      </c>
      <c r="B10" s="225"/>
      <c r="C10" s="228"/>
      <c r="D10" s="225"/>
      <c r="E10" s="228"/>
      <c r="F10" s="225"/>
      <c r="G10" s="225"/>
      <c r="H10" s="225"/>
    </row>
    <row r="11" spans="1:8" ht="18.75" customHeight="1">
      <c r="A11" s="491" t="s">
        <v>1147</v>
      </c>
      <c r="B11" s="225"/>
      <c r="C11" s="228"/>
      <c r="D11" s="225"/>
      <c r="E11" s="228"/>
      <c r="F11" s="225"/>
      <c r="G11" s="225"/>
      <c r="H11" s="225"/>
    </row>
    <row r="12" spans="1:8" ht="18.75" customHeight="1">
      <c r="A12" s="491" t="s">
        <v>1148</v>
      </c>
      <c r="B12" s="225"/>
      <c r="C12" s="228"/>
      <c r="D12" s="225"/>
      <c r="E12" s="228"/>
      <c r="F12" s="225"/>
      <c r="G12" s="225"/>
      <c r="H12" s="225"/>
    </row>
    <row r="13" spans="1:8" ht="18.75" customHeight="1">
      <c r="A13" s="491" t="s">
        <v>1149</v>
      </c>
      <c r="B13" s="225"/>
      <c r="C13" s="228"/>
      <c r="D13" s="225"/>
      <c r="E13" s="228"/>
      <c r="F13" s="225"/>
      <c r="G13" s="225"/>
      <c r="H13" s="225"/>
    </row>
    <row r="14" spans="1:8" ht="19.5" customHeight="1">
      <c r="A14" s="491" t="s">
        <v>1152</v>
      </c>
      <c r="B14" s="225"/>
      <c r="C14" s="228"/>
      <c r="D14" s="225"/>
      <c r="E14" s="228"/>
      <c r="F14" s="225"/>
      <c r="G14" s="225"/>
      <c r="H14" s="225"/>
    </row>
    <row r="15" spans="1:8" ht="18.75" customHeight="1">
      <c r="A15" s="491" t="s">
        <v>181</v>
      </c>
      <c r="B15" s="225"/>
      <c r="C15" s="228"/>
      <c r="D15" s="225"/>
      <c r="E15" s="228"/>
      <c r="F15" s="225"/>
      <c r="G15" s="225"/>
      <c r="H15" s="225"/>
    </row>
    <row r="16" spans="1:8" ht="21.75">
      <c r="A16" s="491" t="s">
        <v>1138</v>
      </c>
      <c r="C16" s="228"/>
      <c r="D16" s="225"/>
      <c r="E16" s="228"/>
      <c r="F16" s="225"/>
      <c r="G16" s="225"/>
      <c r="H16" s="225"/>
    </row>
    <row r="17" spans="1:8" ht="21.75">
      <c r="A17" s="491" t="s">
        <v>926</v>
      </c>
      <c r="B17" s="228"/>
      <c r="C17" s="228"/>
      <c r="D17" s="225"/>
      <c r="E17" s="228"/>
      <c r="F17" s="225"/>
      <c r="G17" s="225"/>
      <c r="H17" s="225"/>
    </row>
    <row r="18" spans="1:8" ht="21.75">
      <c r="A18" s="491" t="s">
        <v>834</v>
      </c>
      <c r="B18" s="225"/>
      <c r="C18" s="228"/>
      <c r="D18" s="225"/>
      <c r="E18" s="228"/>
      <c r="F18" s="225"/>
      <c r="G18" s="225"/>
      <c r="H18" s="225"/>
    </row>
    <row r="19" spans="1:8" ht="21.75">
      <c r="A19" s="491" t="s">
        <v>1151</v>
      </c>
      <c r="B19" s="228"/>
      <c r="C19" s="228"/>
      <c r="D19" s="225"/>
      <c r="E19" s="228"/>
      <c r="F19" s="225"/>
      <c r="G19" s="225"/>
      <c r="H19" s="225"/>
    </row>
    <row r="20" spans="1:8" ht="21.75">
      <c r="A20" s="491" t="s">
        <v>824</v>
      </c>
      <c r="B20" s="168"/>
      <c r="C20" s="242"/>
      <c r="D20" s="168"/>
      <c r="E20" s="242"/>
      <c r="F20" s="168"/>
      <c r="G20" s="168"/>
      <c r="H20" s="168"/>
    </row>
    <row r="21" spans="1:8" ht="21.75">
      <c r="A21" s="492" t="s">
        <v>1142</v>
      </c>
      <c r="B21" s="172">
        <f>C21+D21+E21+F21+G21+H21</f>
        <v>0</v>
      </c>
      <c r="C21" s="172">
        <f>SUM(C7:C20)</f>
        <v>0</v>
      </c>
      <c r="D21" s="170"/>
      <c r="E21" s="172">
        <f>SUM(E7:E20)</f>
        <v>0</v>
      </c>
      <c r="F21" s="170"/>
      <c r="G21" s="170"/>
      <c r="H21" s="170"/>
    </row>
    <row r="22" ht="21.75">
      <c r="A22" t="s">
        <v>482</v>
      </c>
    </row>
    <row r="23" ht="21.75">
      <c r="A23" t="s">
        <v>483</v>
      </c>
    </row>
    <row r="26" spans="1:4" ht="22.5">
      <c r="A26" s="136" t="s">
        <v>991</v>
      </c>
      <c r="B26" s="138"/>
      <c r="C26" s="143"/>
      <c r="D26" s="277"/>
    </row>
    <row r="27" spans="1:4" ht="22.5">
      <c r="A27" s="136" t="s">
        <v>992</v>
      </c>
      <c r="B27" s="138"/>
      <c r="C27" s="244"/>
      <c r="D27" s="3"/>
    </row>
  </sheetData>
  <sheetProtection/>
  <mergeCells count="6">
    <mergeCell ref="C4:D4"/>
    <mergeCell ref="E4:F4"/>
    <mergeCell ref="G4:H4"/>
    <mergeCell ref="A1:H1"/>
    <mergeCell ref="A2:H2"/>
    <mergeCell ref="A3:H3"/>
  </mergeCells>
  <printOptions/>
  <pageMargins left="0.75" right="0.75" top="0.56" bottom="0.16" header="0.29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J25" sqref="J25"/>
    </sheetView>
  </sheetViews>
  <sheetFormatPr defaultColWidth="9.140625" defaultRowHeight="21.75"/>
  <cols>
    <col min="1" max="1" width="3.140625" style="0" customWidth="1"/>
    <col min="2" max="2" width="9.00390625" style="0" customWidth="1"/>
    <col min="3" max="3" width="22.140625" style="0" customWidth="1"/>
    <col min="4" max="4" width="16.28125" style="0" customWidth="1"/>
    <col min="5" max="5" width="13.7109375" style="0" customWidth="1"/>
    <col min="6" max="6" width="8.00390625" style="0" customWidth="1"/>
    <col min="7" max="7" width="13.7109375" style="0" customWidth="1"/>
    <col min="8" max="8" width="11.57421875" style="0" customWidth="1"/>
    <col min="10" max="10" width="11.8515625" style="0" customWidth="1"/>
  </cols>
  <sheetData>
    <row r="1" spans="1:8" ht="19.5" customHeight="1">
      <c r="A1" s="829" t="s">
        <v>1130</v>
      </c>
      <c r="B1" s="829"/>
      <c r="C1" s="829"/>
      <c r="D1" s="829"/>
      <c r="E1" s="829"/>
      <c r="F1" s="829"/>
      <c r="G1" s="829"/>
      <c r="H1" s="829"/>
    </row>
    <row r="2" spans="1:8" ht="21.75">
      <c r="A2" s="829" t="s">
        <v>1172</v>
      </c>
      <c r="B2" s="829"/>
      <c r="C2" s="829"/>
      <c r="D2" s="829"/>
      <c r="E2" s="829"/>
      <c r="F2" s="829"/>
      <c r="G2" s="829"/>
      <c r="H2" s="829"/>
    </row>
    <row r="3" spans="1:8" ht="21.75">
      <c r="A3" s="830" t="s">
        <v>1236</v>
      </c>
      <c r="B3" s="830"/>
      <c r="C3" s="830"/>
      <c r="D3" s="830"/>
      <c r="E3" s="830"/>
      <c r="F3" s="830"/>
      <c r="G3" s="830"/>
      <c r="H3" s="830"/>
    </row>
    <row r="4" spans="1:8" ht="15" customHeight="1">
      <c r="A4" s="17"/>
      <c r="B4" s="17"/>
      <c r="C4" s="17"/>
      <c r="D4" s="825" t="s">
        <v>1131</v>
      </c>
      <c r="E4" s="825" t="s">
        <v>1132</v>
      </c>
      <c r="F4" s="18" t="s">
        <v>1133</v>
      </c>
      <c r="G4" s="52" t="s">
        <v>1134</v>
      </c>
      <c r="H4" s="825" t="s">
        <v>1176</v>
      </c>
    </row>
    <row r="5" spans="1:8" ht="14.25" customHeight="1">
      <c r="A5" s="19"/>
      <c r="B5" s="19"/>
      <c r="C5" s="19"/>
      <c r="D5" s="826"/>
      <c r="E5" s="826"/>
      <c r="F5" s="20" t="s">
        <v>1126</v>
      </c>
      <c r="G5" s="53" t="s">
        <v>1135</v>
      </c>
      <c r="H5" s="826"/>
    </row>
    <row r="6" spans="1:8" ht="21.75">
      <c r="A6" s="19"/>
      <c r="B6" s="51" t="s">
        <v>1136</v>
      </c>
      <c r="C6" s="27"/>
      <c r="D6" s="22"/>
      <c r="E6" s="12"/>
      <c r="F6" s="23"/>
      <c r="G6" s="12"/>
      <c r="H6" s="12"/>
    </row>
    <row r="7" spans="1:8" ht="19.5" customHeight="1">
      <c r="A7" s="19"/>
      <c r="B7" s="21" t="s">
        <v>204</v>
      </c>
      <c r="C7" s="19"/>
      <c r="D7" s="24"/>
      <c r="E7" s="25"/>
      <c r="F7" s="26"/>
      <c r="G7" s="25"/>
      <c r="H7" s="25"/>
    </row>
    <row r="8" spans="1:8" ht="17.25" customHeight="1">
      <c r="A8" s="19"/>
      <c r="B8" s="19"/>
      <c r="C8" s="328" t="s">
        <v>205</v>
      </c>
      <c r="D8" s="267">
        <v>435000</v>
      </c>
      <c r="E8" s="267">
        <v>573838.04</v>
      </c>
      <c r="F8" s="265" t="s">
        <v>1133</v>
      </c>
      <c r="G8" s="266">
        <f>E8-D8</f>
        <v>138838.04000000004</v>
      </c>
      <c r="H8" s="266"/>
    </row>
    <row r="9" spans="1:8" ht="16.5" customHeight="1">
      <c r="A9" s="19"/>
      <c r="B9" s="19"/>
      <c r="C9" s="328" t="s">
        <v>179</v>
      </c>
      <c r="D9" s="267">
        <v>11911500</v>
      </c>
      <c r="E9" s="267">
        <v>14483349.05</v>
      </c>
      <c r="F9" s="265" t="s">
        <v>1133</v>
      </c>
      <c r="G9" s="266">
        <f aca="true" t="shared" si="0" ref="G9:G15">E9-D9</f>
        <v>2571849.0500000007</v>
      </c>
      <c r="H9" s="266"/>
    </row>
    <row r="10" spans="1:8" ht="17.25" customHeight="1">
      <c r="A10" s="19"/>
      <c r="B10" s="19"/>
      <c r="C10" s="328" t="s">
        <v>206</v>
      </c>
      <c r="D10" s="267">
        <v>84500</v>
      </c>
      <c r="E10" s="267">
        <v>120190.87</v>
      </c>
      <c r="F10" s="265" t="s">
        <v>1133</v>
      </c>
      <c r="G10" s="266">
        <f t="shared" si="0"/>
        <v>35690.869999999995</v>
      </c>
      <c r="H10" s="266"/>
    </row>
    <row r="11" spans="1:8" ht="21.75">
      <c r="A11" s="19"/>
      <c r="B11" s="19"/>
      <c r="C11" s="328" t="s">
        <v>1170</v>
      </c>
      <c r="D11" s="267">
        <v>50000</v>
      </c>
      <c r="E11" s="267">
        <v>104786.7</v>
      </c>
      <c r="F11" s="265" t="s">
        <v>1126</v>
      </c>
      <c r="G11" s="266">
        <v>42686.26</v>
      </c>
      <c r="H11" s="266"/>
    </row>
    <row r="12" spans="1:8" ht="18.75" customHeight="1">
      <c r="A12" s="19"/>
      <c r="B12" s="19"/>
      <c r="C12" s="330" t="s">
        <v>208</v>
      </c>
      <c r="D12" s="267"/>
      <c r="E12" s="267">
        <v>46488</v>
      </c>
      <c r="F12" s="265" t="s">
        <v>1133</v>
      </c>
      <c r="G12" s="266">
        <f t="shared" si="0"/>
        <v>46488</v>
      </c>
      <c r="H12" s="266"/>
    </row>
    <row r="13" spans="1:8" ht="21.75">
      <c r="A13" s="19"/>
      <c r="B13" s="19"/>
      <c r="C13" s="328" t="s">
        <v>207</v>
      </c>
      <c r="D13" s="267">
        <v>166000</v>
      </c>
      <c r="E13" s="267">
        <v>84550</v>
      </c>
      <c r="F13" s="265" t="s">
        <v>1126</v>
      </c>
      <c r="G13" s="266">
        <v>116867.48</v>
      </c>
      <c r="H13" s="266"/>
    </row>
    <row r="14" spans="1:8" ht="21.75">
      <c r="A14" s="19"/>
      <c r="B14" s="19"/>
      <c r="C14" s="329" t="s">
        <v>1152</v>
      </c>
      <c r="D14" s="267">
        <v>7353000</v>
      </c>
      <c r="E14" s="267">
        <v>7608859</v>
      </c>
      <c r="F14" s="265" t="s">
        <v>1126</v>
      </c>
      <c r="G14" s="266">
        <v>2296885</v>
      </c>
      <c r="H14" s="266"/>
    </row>
    <row r="15" spans="1:8" ht="21.75">
      <c r="A15" s="832" t="s">
        <v>1237</v>
      </c>
      <c r="B15" s="832"/>
      <c r="C15" s="833"/>
      <c r="D15" s="354">
        <f>SUM(D8:D14)</f>
        <v>20000000</v>
      </c>
      <c r="E15" s="386">
        <f>SUM(E8:E14)</f>
        <v>23022061.659999996</v>
      </c>
      <c r="F15" s="305" t="s">
        <v>1126</v>
      </c>
      <c r="G15" s="387">
        <f t="shared" si="0"/>
        <v>3022061.6599999964</v>
      </c>
      <c r="H15" s="361"/>
    </row>
    <row r="16" spans="1:8" ht="16.5" customHeight="1">
      <c r="A16" s="501"/>
      <c r="B16" s="501"/>
      <c r="C16" s="501" t="s">
        <v>1238</v>
      </c>
      <c r="D16" s="338"/>
      <c r="E16" s="354">
        <v>8800438</v>
      </c>
      <c r="F16" s="313"/>
      <c r="G16" s="277"/>
      <c r="H16" s="363"/>
    </row>
    <row r="17" spans="1:8" ht="19.5" customHeight="1" thickBot="1">
      <c r="A17" s="801" t="s">
        <v>180</v>
      </c>
      <c r="B17" s="801"/>
      <c r="C17" s="801"/>
      <c r="D17" s="338"/>
      <c r="E17" s="301">
        <f>SUM(E15:E16)</f>
        <v>31822499.659999996</v>
      </c>
      <c r="F17" s="362"/>
      <c r="G17" s="362"/>
      <c r="H17" s="363"/>
    </row>
    <row r="18" spans="1:8" ht="15.75" customHeight="1" thickTop="1">
      <c r="A18" s="256"/>
      <c r="B18" s="256"/>
      <c r="C18" s="256"/>
      <c r="D18" s="338"/>
      <c r="E18" s="340"/>
      <c r="F18" s="388"/>
      <c r="G18" s="362"/>
      <c r="H18" s="363"/>
    </row>
    <row r="19" spans="1:8" ht="15.75" customHeight="1">
      <c r="A19" s="17"/>
      <c r="B19" s="17"/>
      <c r="C19" s="17"/>
      <c r="D19" s="825" t="s">
        <v>1131</v>
      </c>
      <c r="E19" s="834" t="s">
        <v>1137</v>
      </c>
      <c r="F19" s="258" t="s">
        <v>1133</v>
      </c>
      <c r="G19" s="52" t="s">
        <v>1134</v>
      </c>
      <c r="H19" s="825" t="s">
        <v>1176</v>
      </c>
    </row>
    <row r="20" spans="1:8" ht="15" customHeight="1">
      <c r="A20" s="364"/>
      <c r="B20" s="364"/>
      <c r="C20" s="364"/>
      <c r="D20" s="826"/>
      <c r="E20" s="826"/>
      <c r="F20" s="20" t="s">
        <v>1126</v>
      </c>
      <c r="G20" s="53" t="s">
        <v>1135</v>
      </c>
      <c r="H20" s="826"/>
    </row>
    <row r="21" spans="1:8" ht="21.75">
      <c r="A21" s="19"/>
      <c r="B21" s="51" t="s">
        <v>209</v>
      </c>
      <c r="C21" s="27"/>
      <c r="D21" s="307"/>
      <c r="E21" s="365"/>
      <c r="F21" s="307"/>
      <c r="G21" s="366"/>
      <c r="H21" s="367"/>
    </row>
    <row r="22" spans="1:8" ht="18" customHeight="1">
      <c r="A22" s="19"/>
      <c r="B22" s="51"/>
      <c r="C22" s="19" t="s">
        <v>1138</v>
      </c>
      <c r="D22" s="378">
        <v>2474960</v>
      </c>
      <c r="E22" s="297">
        <v>10454295</v>
      </c>
      <c r="F22" s="258" t="s">
        <v>1133</v>
      </c>
      <c r="G22" s="266">
        <f>E22-D22</f>
        <v>7979335</v>
      </c>
      <c r="H22" s="266" t="s">
        <v>1224</v>
      </c>
    </row>
    <row r="23" spans="1:8" ht="18.75" customHeight="1">
      <c r="A23" s="19"/>
      <c r="B23" s="19"/>
      <c r="C23" s="342" t="s">
        <v>1246</v>
      </c>
      <c r="D23" s="378">
        <v>2341840</v>
      </c>
      <c r="E23" s="297">
        <v>2324940</v>
      </c>
      <c r="F23" s="265" t="s">
        <v>1126</v>
      </c>
      <c r="G23" s="266">
        <v>16900</v>
      </c>
      <c r="H23" s="266"/>
    </row>
    <row r="24" spans="1:8" ht="18.75" customHeight="1">
      <c r="A24" s="19"/>
      <c r="B24" s="19"/>
      <c r="C24" s="342" t="s">
        <v>1247</v>
      </c>
      <c r="D24" s="378">
        <v>2417000</v>
      </c>
      <c r="E24" s="345">
        <v>2219981</v>
      </c>
      <c r="F24" s="258" t="s">
        <v>1133</v>
      </c>
      <c r="G24" s="266">
        <v>197019</v>
      </c>
      <c r="H24" s="266"/>
    </row>
    <row r="25" spans="1:8" ht="18.75" customHeight="1">
      <c r="A25" s="19"/>
      <c r="B25" s="19"/>
      <c r="C25" s="342" t="s">
        <v>1167</v>
      </c>
      <c r="D25" s="378">
        <v>127000</v>
      </c>
      <c r="E25" s="345">
        <v>261060</v>
      </c>
      <c r="F25" s="265" t="s">
        <v>1126</v>
      </c>
      <c r="G25" s="266">
        <f>E25-D25</f>
        <v>134060</v>
      </c>
      <c r="H25" s="266" t="s">
        <v>1224</v>
      </c>
    </row>
    <row r="26" spans="1:8" ht="18" customHeight="1">
      <c r="A26" s="19"/>
      <c r="B26" s="19"/>
      <c r="C26" s="342" t="s">
        <v>1145</v>
      </c>
      <c r="D26" s="378">
        <v>451000</v>
      </c>
      <c r="E26" s="345">
        <v>809730</v>
      </c>
      <c r="F26" s="265" t="s">
        <v>1126</v>
      </c>
      <c r="G26" s="266">
        <f>E26-D26</f>
        <v>358730</v>
      </c>
      <c r="H26" s="266" t="s">
        <v>1224</v>
      </c>
    </row>
    <row r="27" spans="1:10" ht="15.75" customHeight="1">
      <c r="A27" s="19"/>
      <c r="B27" s="19"/>
      <c r="C27" s="342" t="s">
        <v>1146</v>
      </c>
      <c r="D27" s="378">
        <v>1545000</v>
      </c>
      <c r="E27" s="345">
        <v>1070015.5</v>
      </c>
      <c r="F27" s="265" t="s">
        <v>1126</v>
      </c>
      <c r="G27" s="266">
        <v>474984.5</v>
      </c>
      <c r="H27" s="266" t="s">
        <v>1224</v>
      </c>
      <c r="J27">
        <v>474984.5</v>
      </c>
    </row>
    <row r="28" spans="1:10" ht="19.5" customHeight="1">
      <c r="A28" s="19"/>
      <c r="B28" s="19"/>
      <c r="C28" s="342" t="s">
        <v>1147</v>
      </c>
      <c r="D28" s="378">
        <v>4516400</v>
      </c>
      <c r="E28" s="345">
        <v>2932369.77</v>
      </c>
      <c r="F28" s="265" t="s">
        <v>1126</v>
      </c>
      <c r="G28" s="266">
        <v>1584030.23</v>
      </c>
      <c r="H28" s="266"/>
      <c r="J28" s="266">
        <f aca="true" t="shared" si="1" ref="J28:J34">H28-G28</f>
        <v>-1584030.23</v>
      </c>
    </row>
    <row r="29" spans="1:10" ht="17.25" customHeight="1">
      <c r="A29" s="19"/>
      <c r="B29" s="19"/>
      <c r="C29" s="342" t="s">
        <v>1148</v>
      </c>
      <c r="D29" s="378">
        <v>2572040</v>
      </c>
      <c r="E29" s="345">
        <v>2147831.4</v>
      </c>
      <c r="F29" s="265" t="s">
        <v>1126</v>
      </c>
      <c r="G29" s="266">
        <v>424208.6</v>
      </c>
      <c r="H29" s="266"/>
      <c r="J29" s="266">
        <f t="shared" si="1"/>
        <v>-424208.6</v>
      </c>
    </row>
    <row r="30" spans="1:10" ht="18" customHeight="1">
      <c r="A30" s="19"/>
      <c r="B30" s="19"/>
      <c r="C30" s="342" t="s">
        <v>1149</v>
      </c>
      <c r="D30" s="378">
        <v>300000</v>
      </c>
      <c r="E30" s="345">
        <v>183012.19</v>
      </c>
      <c r="F30" s="265" t="s">
        <v>1126</v>
      </c>
      <c r="G30" s="266">
        <v>116987.81</v>
      </c>
      <c r="H30" s="266"/>
      <c r="J30" s="266">
        <f t="shared" si="1"/>
        <v>-116987.81</v>
      </c>
    </row>
    <row r="31" spans="1:10" ht="17.25" customHeight="1">
      <c r="A31" s="19"/>
      <c r="B31" s="19"/>
      <c r="C31" s="342" t="s">
        <v>1152</v>
      </c>
      <c r="D31" s="378">
        <v>1420160</v>
      </c>
      <c r="E31" s="345">
        <v>1412660</v>
      </c>
      <c r="F31" s="265" t="s">
        <v>1126</v>
      </c>
      <c r="G31" s="266">
        <v>7500</v>
      </c>
      <c r="H31" s="266"/>
      <c r="J31" s="266">
        <f t="shared" si="1"/>
        <v>-7500</v>
      </c>
    </row>
    <row r="32" spans="1:10" ht="17.25" customHeight="1">
      <c r="A32" s="19"/>
      <c r="B32" s="19"/>
      <c r="C32" s="19" t="s">
        <v>181</v>
      </c>
      <c r="D32" s="378">
        <v>30000</v>
      </c>
      <c r="E32" s="345">
        <v>25000</v>
      </c>
      <c r="F32" s="265" t="s">
        <v>1126</v>
      </c>
      <c r="G32" s="266">
        <v>5000</v>
      </c>
      <c r="H32" s="266"/>
      <c r="J32" s="266">
        <f t="shared" si="1"/>
        <v>-5000</v>
      </c>
    </row>
    <row r="33" spans="1:10" ht="21.75">
      <c r="A33" s="19"/>
      <c r="B33" s="19"/>
      <c r="C33" s="342" t="s">
        <v>1150</v>
      </c>
      <c r="D33" s="378">
        <v>263600</v>
      </c>
      <c r="E33" s="296">
        <v>103600</v>
      </c>
      <c r="F33" s="265" t="s">
        <v>1126</v>
      </c>
      <c r="G33" s="266">
        <v>160000</v>
      </c>
      <c r="H33" s="266"/>
      <c r="J33" s="266">
        <f t="shared" si="1"/>
        <v>-160000</v>
      </c>
    </row>
    <row r="34" spans="1:10" ht="20.25" customHeight="1">
      <c r="A34" s="19"/>
      <c r="B34" s="19"/>
      <c r="C34" s="342" t="s">
        <v>1151</v>
      </c>
      <c r="D34" s="385">
        <v>1541000</v>
      </c>
      <c r="E34" s="296">
        <v>1399500</v>
      </c>
      <c r="F34" s="326" t="s">
        <v>1126</v>
      </c>
      <c r="G34" s="266">
        <v>141500</v>
      </c>
      <c r="H34" s="266"/>
      <c r="J34" s="266">
        <f t="shared" si="1"/>
        <v>-141500</v>
      </c>
    </row>
    <row r="35" spans="1:8" ht="21.75">
      <c r="A35" s="827" t="s">
        <v>200</v>
      </c>
      <c r="B35" s="827"/>
      <c r="C35" s="828"/>
      <c r="D35" s="384">
        <f>SUM(D22:D34)</f>
        <v>20000000</v>
      </c>
      <c r="E35" s="368">
        <f>SUM(E22:E34)</f>
        <v>25343994.86</v>
      </c>
      <c r="F35" s="305" t="s">
        <v>1126</v>
      </c>
      <c r="G35" s="368">
        <f>SUM(G22:G34)</f>
        <v>11600255.14</v>
      </c>
      <c r="H35" s="368"/>
    </row>
    <row r="36" spans="1:8" ht="20.25" customHeight="1">
      <c r="A36" s="829" t="s">
        <v>1143</v>
      </c>
      <c r="B36" s="829"/>
      <c r="C36" s="829"/>
      <c r="D36" s="27"/>
      <c r="E36" s="389">
        <f>SUM(E35:E35)</f>
        <v>25343994.86</v>
      </c>
      <c r="F36" s="369"/>
      <c r="G36" s="369"/>
      <c r="H36" s="27"/>
    </row>
    <row r="37" spans="1:8" ht="17.25" customHeight="1" thickBot="1">
      <c r="A37" s="19"/>
      <c r="B37" s="19"/>
      <c r="C37" s="370" t="s">
        <v>201</v>
      </c>
      <c r="D37" s="19"/>
      <c r="E37" s="390">
        <f>E17-E36</f>
        <v>6478504.799999997</v>
      </c>
      <c r="F37" s="314"/>
      <c r="G37" s="314"/>
      <c r="H37" s="19"/>
    </row>
    <row r="38" spans="1:8" ht="18.75" customHeight="1" thickTop="1">
      <c r="A38" s="19"/>
      <c r="B38" s="19"/>
      <c r="C38" s="370" t="s">
        <v>202</v>
      </c>
      <c r="D38" s="19"/>
      <c r="E38" s="371"/>
      <c r="F38" s="831"/>
      <c r="G38" s="337"/>
      <c r="H38" s="19"/>
    </row>
    <row r="39" spans="1:8" ht="21.75">
      <c r="A39" s="19"/>
      <c r="B39" s="19"/>
      <c r="C39" s="370" t="s">
        <v>203</v>
      </c>
      <c r="D39" s="19"/>
      <c r="E39" s="337"/>
      <c r="F39" s="831"/>
      <c r="G39" s="337"/>
      <c r="H39" s="19"/>
    </row>
    <row r="40" spans="1:8" ht="25.5" customHeight="1">
      <c r="A40" s="3"/>
      <c r="B40" s="3"/>
      <c r="C40" s="3"/>
      <c r="D40" s="11"/>
      <c r="E40" s="3"/>
      <c r="F40" s="3"/>
      <c r="G40" s="3"/>
      <c r="H40" s="3"/>
    </row>
    <row r="41" spans="1:8" ht="34.5" customHeight="1">
      <c r="A41" s="3"/>
      <c r="B41" s="3"/>
      <c r="C41" s="136" t="s">
        <v>361</v>
      </c>
      <c r="D41" s="138"/>
      <c r="E41" s="143"/>
      <c r="F41" s="277"/>
      <c r="G41" s="427"/>
      <c r="H41" s="278"/>
    </row>
    <row r="42" spans="1:8" ht="22.5">
      <c r="A42" s="16"/>
      <c r="B42" s="16"/>
      <c r="C42" s="136" t="s">
        <v>362</v>
      </c>
      <c r="D42" s="138"/>
      <c r="E42" s="244"/>
      <c r="F42" s="3"/>
      <c r="G42" s="3"/>
      <c r="H42" s="3"/>
    </row>
    <row r="43" spans="1:8" ht="22.5">
      <c r="A43" s="16"/>
      <c r="B43" s="16"/>
      <c r="C43" s="3"/>
      <c r="D43" s="3"/>
      <c r="E43" s="11"/>
      <c r="F43" s="3"/>
      <c r="G43" s="3"/>
      <c r="H43" s="3"/>
    </row>
    <row r="44" spans="1:8" ht="22.5">
      <c r="A44" s="16"/>
      <c r="B44" s="16"/>
      <c r="C44" s="3"/>
      <c r="D44" s="3"/>
      <c r="E44" s="11"/>
      <c r="F44" s="3"/>
      <c r="G44" s="3"/>
      <c r="H44" s="3"/>
    </row>
    <row r="45" spans="1:8" ht="21.75">
      <c r="A45" s="16"/>
      <c r="B45" s="16"/>
      <c r="C45" s="16"/>
      <c r="D45" s="16"/>
      <c r="E45" s="16"/>
      <c r="F45" s="16"/>
      <c r="G45" s="16"/>
      <c r="H45" s="16"/>
    </row>
    <row r="46" spans="1:8" ht="21.75">
      <c r="A46" s="16"/>
      <c r="B46" s="16"/>
      <c r="C46" s="16"/>
      <c r="D46" s="16"/>
      <c r="E46" s="16"/>
      <c r="F46" s="16"/>
      <c r="G46" s="16"/>
      <c r="H46" s="16"/>
    </row>
    <row r="47" spans="1:8" ht="21.75">
      <c r="A47" s="16"/>
      <c r="B47" s="16"/>
      <c r="C47" s="16"/>
      <c r="D47" s="16"/>
      <c r="E47" s="16"/>
      <c r="F47" s="16"/>
      <c r="G47" s="16"/>
      <c r="H47" s="16"/>
    </row>
    <row r="48" spans="1:8" ht="21.75">
      <c r="A48" s="16"/>
      <c r="B48" s="16"/>
      <c r="C48" s="16"/>
      <c r="D48" s="16"/>
      <c r="E48" s="16"/>
      <c r="F48" s="16"/>
      <c r="G48" s="16"/>
      <c r="H48" s="16"/>
    </row>
    <row r="49" spans="1:8" ht="21.75">
      <c r="A49" s="16"/>
      <c r="B49" s="16"/>
      <c r="C49" s="16"/>
      <c r="D49" s="16"/>
      <c r="E49" s="16"/>
      <c r="F49" s="16"/>
      <c r="G49" s="16"/>
      <c r="H49" s="16"/>
    </row>
  </sheetData>
  <sheetProtection/>
  <mergeCells count="14">
    <mergeCell ref="A36:C36"/>
    <mergeCell ref="F38:F39"/>
    <mergeCell ref="A15:C15"/>
    <mergeCell ref="A17:C17"/>
    <mergeCell ref="D19:D20"/>
    <mergeCell ref="E19:E20"/>
    <mergeCell ref="H19:H20"/>
    <mergeCell ref="A35:C35"/>
    <mergeCell ref="A1:H1"/>
    <mergeCell ref="A2:H2"/>
    <mergeCell ref="A3:H3"/>
    <mergeCell ref="D4:D5"/>
    <mergeCell ref="E4:E5"/>
    <mergeCell ref="H4:H5"/>
  </mergeCells>
  <printOptions/>
  <pageMargins left="0.63" right="0.51" top="0.54" bottom="0.35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G13" sqref="G13"/>
    </sheetView>
  </sheetViews>
  <sheetFormatPr defaultColWidth="9.140625" defaultRowHeight="21.75"/>
  <cols>
    <col min="1" max="1" width="15.8515625" style="0" customWidth="1"/>
    <col min="2" max="2" width="14.421875" style="0" customWidth="1"/>
    <col min="3" max="3" width="13.140625" style="0" customWidth="1"/>
    <col min="4" max="4" width="13.421875" style="0" customWidth="1"/>
    <col min="5" max="5" width="12.57421875" style="0" customWidth="1"/>
    <col min="6" max="6" width="13.8515625" style="0" customWidth="1"/>
  </cols>
  <sheetData>
    <row r="1" spans="1:6" ht="28.5">
      <c r="A1" s="835" t="s">
        <v>1153</v>
      </c>
      <c r="B1" s="835"/>
      <c r="C1" s="835"/>
      <c r="D1" s="835"/>
      <c r="E1" s="835"/>
      <c r="F1" s="835"/>
    </row>
    <row r="2" spans="1:6" ht="23.25">
      <c r="A2" s="836" t="s">
        <v>431</v>
      </c>
      <c r="B2" s="836"/>
      <c r="C2" s="836"/>
      <c r="D2" s="836"/>
      <c r="E2" s="836"/>
      <c r="F2" s="836"/>
    </row>
    <row r="3" spans="1:6" ht="23.25">
      <c r="A3" s="836"/>
      <c r="B3" s="836"/>
      <c r="C3" s="836"/>
      <c r="D3" s="836"/>
      <c r="E3" s="836"/>
      <c r="F3" s="836"/>
    </row>
    <row r="4" spans="1:6" ht="23.25">
      <c r="A4" s="116" t="s">
        <v>823</v>
      </c>
      <c r="B4" s="77" t="s">
        <v>824</v>
      </c>
      <c r="C4" s="77" t="s">
        <v>432</v>
      </c>
      <c r="D4" s="247" t="s">
        <v>433</v>
      </c>
      <c r="E4" s="247" t="s">
        <v>434</v>
      </c>
      <c r="F4" s="247" t="s">
        <v>825</v>
      </c>
    </row>
    <row r="5" spans="1:6" ht="23.25">
      <c r="A5" s="2" t="s">
        <v>826</v>
      </c>
      <c r="B5" s="117"/>
      <c r="C5" s="71">
        <v>2731.71</v>
      </c>
      <c r="D5" s="248">
        <v>8211.48</v>
      </c>
      <c r="E5" s="248">
        <v>2731.71</v>
      </c>
      <c r="F5" s="248">
        <f aca="true" t="shared" si="0" ref="F5:F12">SUM(C5+D5-E5)</f>
        <v>8211.48</v>
      </c>
    </row>
    <row r="6" spans="1:6" ht="23.25">
      <c r="A6" s="2" t="s">
        <v>1248</v>
      </c>
      <c r="B6" s="117"/>
      <c r="C6" s="71"/>
      <c r="D6" s="248">
        <v>475.54</v>
      </c>
      <c r="E6" s="248">
        <v>322.14</v>
      </c>
      <c r="F6" s="248">
        <f t="shared" si="0"/>
        <v>153.40000000000003</v>
      </c>
    </row>
    <row r="7" spans="1:6" ht="23.25">
      <c r="A7" s="2" t="s">
        <v>827</v>
      </c>
      <c r="B7" s="117"/>
      <c r="C7" s="71">
        <v>283.71</v>
      </c>
      <c r="D7" s="248">
        <v>20.45</v>
      </c>
      <c r="E7" s="248"/>
      <c r="F7" s="248">
        <f t="shared" si="0"/>
        <v>304.15999999999997</v>
      </c>
    </row>
    <row r="8" spans="1:6" ht="23.25">
      <c r="A8" s="2" t="s">
        <v>828</v>
      </c>
      <c r="B8" s="117"/>
      <c r="C8" s="71">
        <v>1028.96</v>
      </c>
      <c r="D8" s="248">
        <v>24.54</v>
      </c>
      <c r="E8" s="248"/>
      <c r="F8" s="248">
        <f t="shared" si="0"/>
        <v>1053.5</v>
      </c>
    </row>
    <row r="9" spans="1:6" ht="23.25">
      <c r="A9" s="2" t="s">
        <v>829</v>
      </c>
      <c r="B9" s="117"/>
      <c r="C9" s="71">
        <v>160307.5</v>
      </c>
      <c r="D9" s="248">
        <v>16400</v>
      </c>
      <c r="E9" s="248">
        <v>10650</v>
      </c>
      <c r="F9" s="248">
        <f t="shared" si="0"/>
        <v>166057.5</v>
      </c>
    </row>
    <row r="10" spans="1:6" ht="23.25">
      <c r="A10" s="2" t="s">
        <v>830</v>
      </c>
      <c r="B10" s="117"/>
      <c r="C10" s="74">
        <v>4803.41</v>
      </c>
      <c r="D10" s="248">
        <v>19872</v>
      </c>
      <c r="E10" s="248">
        <v>24675.41</v>
      </c>
      <c r="F10" s="248">
        <f t="shared" si="0"/>
        <v>0</v>
      </c>
    </row>
    <row r="11" spans="1:6" ht="23.25">
      <c r="A11" s="2" t="s">
        <v>871</v>
      </c>
      <c r="B11" s="117"/>
      <c r="C11" s="74">
        <v>27711.85</v>
      </c>
      <c r="D11" s="248">
        <v>10000</v>
      </c>
      <c r="E11" s="248">
        <v>37711.85</v>
      </c>
      <c r="F11" s="248">
        <f t="shared" si="0"/>
        <v>0</v>
      </c>
    </row>
    <row r="12" spans="1:6" ht="23.25">
      <c r="A12" s="2" t="s">
        <v>1249</v>
      </c>
      <c r="B12" s="117"/>
      <c r="C12" s="74">
        <v>33</v>
      </c>
      <c r="D12" s="248"/>
      <c r="E12" s="248"/>
      <c r="F12" s="248">
        <f t="shared" si="0"/>
        <v>33</v>
      </c>
    </row>
    <row r="13" spans="1:6" ht="24" thickBot="1">
      <c r="A13" s="118" t="s">
        <v>1142</v>
      </c>
      <c r="B13" s="118"/>
      <c r="C13" s="119"/>
      <c r="D13" s="249">
        <f>SUM(D5:D12)</f>
        <v>55004.01</v>
      </c>
      <c r="E13" s="249">
        <f>SUM(E5:E11)</f>
        <v>76091.11</v>
      </c>
      <c r="F13" s="249">
        <f>SUM(F5:F12)</f>
        <v>175813.04</v>
      </c>
    </row>
    <row r="14" spans="1:6" ht="24" thickTop="1">
      <c r="A14" s="118"/>
      <c r="B14" s="118"/>
      <c r="C14" s="119"/>
      <c r="D14" s="120"/>
      <c r="E14" s="120"/>
      <c r="F14" s="120"/>
    </row>
    <row r="15" spans="1:6" ht="23.25">
      <c r="A15" s="250" t="s">
        <v>435</v>
      </c>
      <c r="B15" s="2" t="s">
        <v>436</v>
      </c>
      <c r="C15" s="117"/>
      <c r="D15" s="117"/>
      <c r="E15" s="117"/>
      <c r="F15" s="117"/>
    </row>
    <row r="16" spans="1:6" ht="23.25">
      <c r="A16" s="251" t="s">
        <v>437</v>
      </c>
      <c r="B16" s="252"/>
      <c r="C16" s="117"/>
      <c r="D16" s="121"/>
      <c r="E16" s="246" t="s">
        <v>1154</v>
      </c>
      <c r="F16" s="117"/>
    </row>
    <row r="17" spans="1:6" ht="23.25">
      <c r="A17" s="117"/>
      <c r="B17" s="117"/>
      <c r="C17" s="121"/>
      <c r="D17" s="121"/>
      <c r="E17" s="120"/>
      <c r="F17" s="117"/>
    </row>
    <row r="18" spans="1:6" ht="23.25">
      <c r="A18" s="2"/>
      <c r="B18" s="117"/>
      <c r="C18" s="121"/>
      <c r="D18" s="121"/>
      <c r="E18" s="120"/>
      <c r="F18" s="117"/>
    </row>
    <row r="19" spans="1:6" ht="23.25">
      <c r="A19" s="2"/>
      <c r="B19" s="117"/>
      <c r="C19" s="121"/>
      <c r="D19" s="121"/>
      <c r="E19" s="120"/>
      <c r="F19" s="117"/>
    </row>
    <row r="20" spans="1:6" ht="23.25">
      <c r="A20" s="117"/>
      <c r="B20" s="117"/>
      <c r="C20" s="121"/>
      <c r="D20" s="121"/>
      <c r="E20" s="120"/>
      <c r="F20" s="117"/>
    </row>
    <row r="21" spans="1:6" ht="23.25">
      <c r="A21" s="117"/>
      <c r="B21" s="117"/>
      <c r="C21" s="121"/>
      <c r="D21" s="121"/>
      <c r="E21" s="120"/>
      <c r="F21" s="117"/>
    </row>
    <row r="22" spans="1:6" ht="23.25">
      <c r="A22" s="117"/>
      <c r="B22" s="117"/>
      <c r="C22" s="121"/>
      <c r="D22" s="121"/>
      <c r="E22" s="117"/>
      <c r="F22" s="117"/>
    </row>
    <row r="23" spans="1:6" ht="23.25">
      <c r="A23" s="117"/>
      <c r="B23" s="117"/>
      <c r="C23" s="117"/>
      <c r="D23" s="117"/>
      <c r="E23" s="252"/>
      <c r="F23" s="252"/>
    </row>
    <row r="24" spans="1:6" ht="24" thickBot="1">
      <c r="A24" s="117"/>
      <c r="B24" s="117"/>
      <c r="C24" s="117"/>
      <c r="D24" s="117" t="s">
        <v>1142</v>
      </c>
      <c r="E24" s="253"/>
      <c r="F24" s="117"/>
    </row>
    <row r="25" spans="1:6" ht="24" thickTop="1">
      <c r="A25" s="117"/>
      <c r="B25" s="117"/>
      <c r="C25" s="117"/>
      <c r="D25" s="117"/>
      <c r="E25" s="117"/>
      <c r="F25" s="117"/>
    </row>
    <row r="26" spans="1:6" ht="23.25">
      <c r="A26" s="117"/>
      <c r="B26" s="117"/>
      <c r="C26" s="117"/>
      <c r="D26" s="117"/>
      <c r="E26" s="117"/>
      <c r="F26" s="117"/>
    </row>
    <row r="27" spans="1:6" ht="30.75">
      <c r="A27" s="254"/>
      <c r="B27" s="254"/>
      <c r="C27" s="254"/>
      <c r="D27" s="254"/>
      <c r="E27" s="254"/>
      <c r="F27" s="254"/>
    </row>
    <row r="28" spans="1:6" ht="30.75">
      <c r="A28" s="254"/>
      <c r="B28" s="254"/>
      <c r="C28" s="254"/>
      <c r="D28" s="254"/>
      <c r="E28" s="254"/>
      <c r="F28" s="254"/>
    </row>
    <row r="29" spans="1:6" ht="30.75">
      <c r="A29" s="254"/>
      <c r="B29" s="254"/>
      <c r="C29" s="254"/>
      <c r="D29" s="254"/>
      <c r="E29" s="254"/>
      <c r="F29" s="254"/>
    </row>
    <row r="30" spans="1:6" ht="23.25">
      <c r="A30" s="117"/>
      <c r="B30" s="117"/>
      <c r="C30" s="117"/>
      <c r="D30" s="117"/>
      <c r="E30" s="117"/>
      <c r="F30" s="117"/>
    </row>
    <row r="31" spans="1:6" ht="23.25">
      <c r="A31" s="117"/>
      <c r="B31" s="117"/>
      <c r="C31" s="117"/>
      <c r="D31" s="117"/>
      <c r="E31" s="117"/>
      <c r="F31" s="117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4">
      <selection activeCell="E12" sqref="E12"/>
    </sheetView>
  </sheetViews>
  <sheetFormatPr defaultColWidth="9.140625" defaultRowHeight="21.75"/>
  <cols>
    <col min="1" max="1" width="40.28125" style="0" customWidth="1"/>
    <col min="2" max="2" width="29.00390625" style="0" customWidth="1"/>
    <col min="3" max="3" width="16.140625" style="0" customWidth="1"/>
  </cols>
  <sheetData>
    <row r="1" spans="1:3" ht="22.5">
      <c r="A1" s="837" t="s">
        <v>851</v>
      </c>
      <c r="B1" s="837"/>
      <c r="C1" s="837"/>
    </row>
    <row r="2" spans="1:3" ht="22.5">
      <c r="A2" s="837" t="s">
        <v>831</v>
      </c>
      <c r="B2" s="837"/>
      <c r="C2" s="837"/>
    </row>
    <row r="3" spans="1:3" ht="22.5">
      <c r="A3" s="837" t="s">
        <v>729</v>
      </c>
      <c r="B3" s="837"/>
      <c r="C3" s="837"/>
    </row>
    <row r="4" spans="1:3" ht="22.5">
      <c r="A4" s="135"/>
      <c r="B4" s="135"/>
      <c r="C4" s="135"/>
    </row>
    <row r="5" spans="1:3" ht="22.5">
      <c r="A5" s="136"/>
      <c r="B5" s="137" t="s">
        <v>832</v>
      </c>
      <c r="C5" s="138" t="s">
        <v>210</v>
      </c>
    </row>
    <row r="6" spans="1:3" ht="23.25" thickBot="1">
      <c r="A6" s="136" t="s">
        <v>833</v>
      </c>
      <c r="B6" s="138" t="s">
        <v>834</v>
      </c>
      <c r="C6" s="497">
        <v>29753591.37</v>
      </c>
    </row>
    <row r="7" spans="1:3" ht="23.25" thickTop="1">
      <c r="A7" s="136" t="s">
        <v>883</v>
      </c>
      <c r="B7" s="138" t="s">
        <v>824</v>
      </c>
      <c r="C7" s="139">
        <f>172515+9489469.26+1829824.64+13418092.16</f>
        <v>24909901.060000002</v>
      </c>
    </row>
    <row r="8" spans="1:3" ht="22.5">
      <c r="A8" s="136" t="s">
        <v>835</v>
      </c>
      <c r="B8" s="138"/>
      <c r="C8" s="139"/>
    </row>
    <row r="9" spans="1:3" ht="22.5">
      <c r="A9" s="136" t="s">
        <v>836</v>
      </c>
      <c r="B9" s="138"/>
      <c r="C9" s="139"/>
    </row>
    <row r="10" spans="1:3" ht="22.5">
      <c r="A10" s="136" t="s">
        <v>1041</v>
      </c>
      <c r="B10" s="226">
        <v>12480</v>
      </c>
      <c r="C10" s="139"/>
    </row>
    <row r="11" spans="1:3" ht="22.5">
      <c r="A11" s="136" t="s">
        <v>771</v>
      </c>
      <c r="B11" s="226">
        <v>67892.16</v>
      </c>
      <c r="C11" s="139"/>
    </row>
    <row r="12" spans="1:3" ht="22.5">
      <c r="A12" s="136" t="s">
        <v>773</v>
      </c>
      <c r="B12" s="226">
        <v>600</v>
      </c>
      <c r="C12" s="139"/>
    </row>
    <row r="13" spans="1:3" ht="22.5">
      <c r="A13" s="136" t="s">
        <v>730</v>
      </c>
      <c r="B13" s="226">
        <v>7800</v>
      </c>
      <c r="C13" s="139">
        <f>B10+B11+B12+B13</f>
        <v>88772.16</v>
      </c>
    </row>
    <row r="14" spans="1:3" ht="23.25" thickBot="1">
      <c r="A14" s="136"/>
      <c r="B14" s="135" t="s">
        <v>1142</v>
      </c>
      <c r="C14" s="140">
        <f>SUM(C7:C13)</f>
        <v>24998673.220000003</v>
      </c>
    </row>
    <row r="15" spans="1:3" ht="23.25" thickTop="1">
      <c r="A15" s="136"/>
      <c r="B15" s="136"/>
      <c r="C15" s="136"/>
    </row>
    <row r="16" spans="1:3" ht="22.5">
      <c r="A16" s="136"/>
      <c r="B16" s="141" t="s">
        <v>1124</v>
      </c>
      <c r="C16" s="136"/>
    </row>
    <row r="17" spans="1:3" ht="23.25" thickBot="1">
      <c r="A17" s="136" t="s">
        <v>1125</v>
      </c>
      <c r="B17" s="138" t="s">
        <v>834</v>
      </c>
      <c r="C17" s="497">
        <v>29753591.37</v>
      </c>
    </row>
    <row r="18" spans="1:3" ht="23.25" thickTop="1">
      <c r="A18" s="136" t="s">
        <v>837</v>
      </c>
      <c r="B18" s="138" t="s">
        <v>838</v>
      </c>
      <c r="C18" s="139">
        <v>175058.44</v>
      </c>
    </row>
    <row r="19" spans="1:3" ht="22.5">
      <c r="A19" s="136" t="s">
        <v>253</v>
      </c>
      <c r="B19" s="138" t="s">
        <v>839</v>
      </c>
      <c r="C19" s="139">
        <v>253441</v>
      </c>
    </row>
    <row r="20" spans="1:3" ht="22.5">
      <c r="A20" s="136" t="s">
        <v>440</v>
      </c>
      <c r="B20" s="138"/>
      <c r="C20" s="139">
        <v>1829824.64</v>
      </c>
    </row>
    <row r="21" spans="1:3" ht="22.5">
      <c r="A21" s="136" t="s">
        <v>608</v>
      </c>
      <c r="B21" s="138" t="s">
        <v>840</v>
      </c>
      <c r="C21" s="139">
        <v>772500</v>
      </c>
    </row>
    <row r="22" spans="1:3" ht="22.5">
      <c r="A22" s="136" t="s">
        <v>1223</v>
      </c>
      <c r="B22" s="138" t="s">
        <v>840</v>
      </c>
      <c r="C22" s="139">
        <v>7800</v>
      </c>
    </row>
    <row r="23" spans="1:3" ht="22.5">
      <c r="A23" s="136" t="s">
        <v>477</v>
      </c>
      <c r="B23" s="136"/>
      <c r="C23" s="139">
        <v>8714606.97</v>
      </c>
    </row>
    <row r="24" spans="1:3" ht="22.5">
      <c r="A24" s="136" t="s">
        <v>841</v>
      </c>
      <c r="B24" s="138" t="s">
        <v>1042</v>
      </c>
      <c r="C24" s="139">
        <v>13245442.17</v>
      </c>
    </row>
    <row r="25" spans="1:3" ht="23.25" thickBot="1">
      <c r="A25" s="136"/>
      <c r="B25" s="135" t="s">
        <v>1142</v>
      </c>
      <c r="C25" s="140">
        <f>SUM(C18:C24)</f>
        <v>24998673.22</v>
      </c>
    </row>
    <row r="26" spans="1:3" ht="23.25" thickTop="1">
      <c r="A26" s="136"/>
      <c r="B26" s="135"/>
      <c r="C26" s="142"/>
    </row>
    <row r="27" spans="1:3" ht="22.5">
      <c r="A27" s="136"/>
      <c r="B27" s="135"/>
      <c r="C27" s="142"/>
    </row>
    <row r="28" spans="1:3" ht="22.5">
      <c r="A28" s="136"/>
      <c r="B28" s="135"/>
      <c r="C28" s="142"/>
    </row>
    <row r="29" spans="1:3" ht="22.5">
      <c r="A29" s="136" t="s">
        <v>361</v>
      </c>
      <c r="B29" s="138"/>
      <c r="C29" s="143"/>
    </row>
    <row r="30" spans="1:3" ht="22.5">
      <c r="A30" s="136" t="s">
        <v>362</v>
      </c>
      <c r="B30" s="138"/>
      <c r="C30" s="244"/>
    </row>
    <row r="31" spans="1:3" ht="22.5">
      <c r="A31" s="136"/>
      <c r="B31" s="138"/>
      <c r="C31" s="143"/>
    </row>
    <row r="32" spans="1:3" ht="22.5">
      <c r="A32" s="138"/>
      <c r="B32" s="144"/>
      <c r="C32" s="138"/>
    </row>
    <row r="33" spans="1:3" ht="22.5">
      <c r="A33" s="138"/>
      <c r="B33" s="144"/>
      <c r="C33" s="138"/>
    </row>
    <row r="34" spans="1:3" ht="22.5">
      <c r="A34" s="138"/>
      <c r="B34" s="144"/>
      <c r="C34" s="138"/>
    </row>
    <row r="35" spans="1:3" ht="22.5">
      <c r="A35" s="138"/>
      <c r="B35" s="144"/>
      <c r="C35" s="138"/>
    </row>
  </sheetData>
  <sheetProtection/>
  <mergeCells count="3">
    <mergeCell ref="A1:C1"/>
    <mergeCell ref="A2:C2"/>
    <mergeCell ref="A3:C3"/>
  </mergeCells>
  <printOptions/>
  <pageMargins left="0.75" right="0.75" top="0.66" bottom="1" header="0.39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25">
      <selection activeCell="B39" sqref="B39:G42"/>
    </sheetView>
  </sheetViews>
  <sheetFormatPr defaultColWidth="9.140625" defaultRowHeight="21.75"/>
  <cols>
    <col min="1" max="1" width="3.7109375" style="0" customWidth="1"/>
    <col min="2" max="2" width="24.140625" style="0" customWidth="1"/>
    <col min="3" max="3" width="14.28125" style="0" customWidth="1"/>
    <col min="4" max="4" width="12.00390625" style="0" customWidth="1"/>
    <col min="5" max="5" width="10.421875" style="0" customWidth="1"/>
    <col min="6" max="6" width="12.8515625" style="0" customWidth="1"/>
    <col min="7" max="7" width="14.421875" style="0" customWidth="1"/>
    <col min="8" max="8" width="13.28125" style="0" customWidth="1"/>
    <col min="9" max="9" width="16.00390625" style="0" customWidth="1"/>
    <col min="10" max="10" width="14.8515625" style="0" customWidth="1"/>
    <col min="11" max="11" width="19.8515625" style="0" customWidth="1"/>
    <col min="12" max="12" width="14.00390625" style="0" customWidth="1"/>
    <col min="13" max="13" width="13.8515625" style="0" customWidth="1"/>
    <col min="14" max="14" width="9.57421875" style="0" bestFit="1" customWidth="1"/>
    <col min="15" max="15" width="11.7109375" style="0" bestFit="1" customWidth="1"/>
    <col min="17" max="17" width="11.7109375" style="0" bestFit="1" customWidth="1"/>
  </cols>
  <sheetData>
    <row r="1" spans="8:17" ht="21.75">
      <c r="H1" s="176" t="s">
        <v>866</v>
      </c>
      <c r="J1" t="s">
        <v>1234</v>
      </c>
      <c r="Q1" s="176" t="s">
        <v>866</v>
      </c>
    </row>
    <row r="2" spans="1:17" ht="21" customHeight="1">
      <c r="A2" s="812" t="s">
        <v>965</v>
      </c>
      <c r="B2" s="812"/>
      <c r="C2" s="812"/>
      <c r="D2" s="812"/>
      <c r="E2" s="812"/>
      <c r="F2" s="812"/>
      <c r="G2" s="812"/>
      <c r="H2" s="812"/>
      <c r="J2" s="812" t="s">
        <v>965</v>
      </c>
      <c r="K2" s="812"/>
      <c r="L2" s="812"/>
      <c r="M2" s="812"/>
      <c r="N2" s="812"/>
      <c r="O2" s="812"/>
      <c r="P2" s="812"/>
      <c r="Q2" s="812"/>
    </row>
    <row r="3" spans="1:17" ht="18.75" customHeight="1">
      <c r="A3" s="812" t="s">
        <v>1139</v>
      </c>
      <c r="B3" s="812"/>
      <c r="C3" s="812"/>
      <c r="D3" s="812"/>
      <c r="E3" s="812"/>
      <c r="F3" s="812"/>
      <c r="G3" s="812"/>
      <c r="H3" s="812"/>
      <c r="J3" s="812" t="s">
        <v>1139</v>
      </c>
      <c r="K3" s="812"/>
      <c r="L3" s="812"/>
      <c r="M3" s="812"/>
      <c r="N3" s="812"/>
      <c r="O3" s="812"/>
      <c r="P3" s="812"/>
      <c r="Q3" s="812"/>
    </row>
    <row r="4" spans="1:17" ht="17.25" customHeight="1">
      <c r="A4" s="813" t="s">
        <v>213</v>
      </c>
      <c r="B4" s="813"/>
      <c r="C4" s="813"/>
      <c r="D4" s="813"/>
      <c r="E4" s="813"/>
      <c r="F4" s="813"/>
      <c r="G4" s="813"/>
      <c r="H4" s="813"/>
      <c r="J4" s="813" t="s">
        <v>213</v>
      </c>
      <c r="K4" s="813"/>
      <c r="L4" s="813"/>
      <c r="M4" s="813"/>
      <c r="N4" s="813"/>
      <c r="O4" s="813"/>
      <c r="P4" s="813"/>
      <c r="Q4" s="813"/>
    </row>
    <row r="5" spans="1:17" ht="18" customHeight="1">
      <c r="A5" s="838" t="s">
        <v>1140</v>
      </c>
      <c r="B5" s="839"/>
      <c r="C5" s="412" t="s">
        <v>966</v>
      </c>
      <c r="D5" s="842" t="s">
        <v>967</v>
      </c>
      <c r="E5" s="842" t="s">
        <v>968</v>
      </c>
      <c r="F5" s="842" t="s">
        <v>969</v>
      </c>
      <c r="G5" s="842" t="s">
        <v>970</v>
      </c>
      <c r="H5" s="842" t="s">
        <v>971</v>
      </c>
      <c r="J5" s="838" t="s">
        <v>1140</v>
      </c>
      <c r="K5" s="839"/>
      <c r="L5" s="412" t="s">
        <v>966</v>
      </c>
      <c r="M5" s="842" t="s">
        <v>967</v>
      </c>
      <c r="N5" s="842" t="s">
        <v>968</v>
      </c>
      <c r="O5" s="842" t="s">
        <v>969</v>
      </c>
      <c r="P5" s="842" t="s">
        <v>970</v>
      </c>
      <c r="Q5" s="842" t="s">
        <v>971</v>
      </c>
    </row>
    <row r="6" spans="1:17" ht="15" customHeight="1">
      <c r="A6" s="840"/>
      <c r="B6" s="841"/>
      <c r="C6" s="413" t="s">
        <v>972</v>
      </c>
      <c r="D6" s="843"/>
      <c r="E6" s="843"/>
      <c r="F6" s="843"/>
      <c r="G6" s="843"/>
      <c r="H6" s="843"/>
      <c r="J6" s="840"/>
      <c r="K6" s="841"/>
      <c r="L6" s="413" t="s">
        <v>972</v>
      </c>
      <c r="M6" s="843"/>
      <c r="N6" s="843"/>
      <c r="O6" s="843"/>
      <c r="P6" s="843"/>
      <c r="Q6" s="843"/>
    </row>
    <row r="7" spans="1:17" ht="21.75">
      <c r="A7" s="414" t="s">
        <v>408</v>
      </c>
      <c r="B7" s="415" t="s">
        <v>973</v>
      </c>
      <c r="C7" s="352"/>
      <c r="D7" s="282"/>
      <c r="E7" s="266"/>
      <c r="F7" s="266"/>
      <c r="G7" s="423" t="s">
        <v>974</v>
      </c>
      <c r="H7" s="266">
        <f>9368206.37+52000-105025-91806+103600-94000</f>
        <v>9232975.37</v>
      </c>
      <c r="J7" s="414" t="s">
        <v>408</v>
      </c>
      <c r="K7" s="415" t="s">
        <v>973</v>
      </c>
      <c r="L7" s="352"/>
      <c r="M7" s="282"/>
      <c r="N7" s="266"/>
      <c r="O7" s="266"/>
      <c r="P7" s="423" t="s">
        <v>974</v>
      </c>
      <c r="Q7" s="266">
        <f>9368206.37+52000-105025-91806</f>
        <v>9223375.37</v>
      </c>
    </row>
    <row r="8" spans="1:17" ht="18.75" customHeight="1">
      <c r="A8" s="416">
        <v>1</v>
      </c>
      <c r="B8" s="423" t="s">
        <v>1141</v>
      </c>
      <c r="C8" s="266">
        <v>2749049</v>
      </c>
      <c r="D8" s="282"/>
      <c r="E8" s="266"/>
      <c r="F8" s="266">
        <f aca="true" t="shared" si="0" ref="F8:F22">C8+D8</f>
        <v>2749049</v>
      </c>
      <c r="G8" s="423" t="s">
        <v>1127</v>
      </c>
      <c r="H8" s="266">
        <f>7797316+3452900</f>
        <v>11250216</v>
      </c>
      <c r="J8" s="416">
        <v>1</v>
      </c>
      <c r="K8" s="423" t="s">
        <v>1141</v>
      </c>
      <c r="L8" s="266">
        <v>2749049</v>
      </c>
      <c r="M8" s="282"/>
      <c r="N8" s="266"/>
      <c r="O8" s="266">
        <f aca="true" t="shared" si="1" ref="O8:O22">L8+M8</f>
        <v>2749049</v>
      </c>
      <c r="P8" s="423" t="s">
        <v>1127</v>
      </c>
      <c r="Q8" s="266">
        <f>7797316+3452900</f>
        <v>11250216</v>
      </c>
    </row>
    <row r="9" spans="1:17" ht="19.5" customHeight="1">
      <c r="A9" s="416">
        <v>2</v>
      </c>
      <c r="B9" s="423" t="s">
        <v>575</v>
      </c>
      <c r="C9" s="266">
        <v>7089066</v>
      </c>
      <c r="D9" s="282"/>
      <c r="E9" s="266"/>
      <c r="F9" s="266">
        <f t="shared" si="0"/>
        <v>7089066</v>
      </c>
      <c r="G9" s="423" t="s">
        <v>1256</v>
      </c>
      <c r="H9" s="266">
        <f>4045+21500-845</f>
        <v>24700</v>
      </c>
      <c r="J9" s="416">
        <v>2</v>
      </c>
      <c r="K9" s="423" t="s">
        <v>575</v>
      </c>
      <c r="L9" s="266">
        <v>7089066</v>
      </c>
      <c r="M9" s="282"/>
      <c r="N9" s="266"/>
      <c r="O9" s="266">
        <f t="shared" si="1"/>
        <v>7089066</v>
      </c>
      <c r="P9" s="423" t="s">
        <v>1256</v>
      </c>
      <c r="Q9" s="266">
        <f>4045+21500-845</f>
        <v>24700</v>
      </c>
    </row>
    <row r="10" spans="1:17" ht="20.25" customHeight="1">
      <c r="A10" s="416">
        <v>3</v>
      </c>
      <c r="B10" s="423" t="s">
        <v>576</v>
      </c>
      <c r="C10" s="266">
        <v>1371500</v>
      </c>
      <c r="D10" s="282"/>
      <c r="E10" s="266"/>
      <c r="F10" s="266">
        <f t="shared" si="0"/>
        <v>1371500</v>
      </c>
      <c r="G10" s="423" t="s">
        <v>211</v>
      </c>
      <c r="H10" s="266">
        <f>6308900+1197000+408500+975300</f>
        <v>8889700</v>
      </c>
      <c r="J10" s="416">
        <v>3</v>
      </c>
      <c r="K10" s="423" t="s">
        <v>576</v>
      </c>
      <c r="L10" s="266">
        <v>1371500</v>
      </c>
      <c r="M10" s="282"/>
      <c r="N10" s="266"/>
      <c r="O10" s="266">
        <f t="shared" si="1"/>
        <v>1371500</v>
      </c>
      <c r="P10" s="423" t="s">
        <v>211</v>
      </c>
      <c r="Q10" s="266">
        <f>6308900+1197000+408500</f>
        <v>7914400</v>
      </c>
    </row>
    <row r="11" spans="1:17" ht="21.75">
      <c r="A11" s="416">
        <v>4</v>
      </c>
      <c r="B11" s="423" t="s">
        <v>975</v>
      </c>
      <c r="C11" s="266">
        <v>66500</v>
      </c>
      <c r="D11" s="282"/>
      <c r="E11" s="266"/>
      <c r="F11" s="266">
        <f t="shared" si="0"/>
        <v>66500</v>
      </c>
      <c r="G11" s="423" t="s">
        <v>212</v>
      </c>
      <c r="H11" s="266">
        <v>356000</v>
      </c>
      <c r="I11" s="282">
        <f>6854166-5825166</f>
        <v>1029000</v>
      </c>
      <c r="J11" s="416">
        <v>4</v>
      </c>
      <c r="K11" s="423" t="s">
        <v>975</v>
      </c>
      <c r="L11" s="266">
        <v>66500</v>
      </c>
      <c r="M11" s="282"/>
      <c r="N11" s="266"/>
      <c r="O11" s="266">
        <f t="shared" si="1"/>
        <v>66500</v>
      </c>
      <c r="P11" s="423" t="s">
        <v>212</v>
      </c>
      <c r="Q11" s="266">
        <v>356000</v>
      </c>
    </row>
    <row r="12" spans="1:17" ht="18.75" customHeight="1">
      <c r="A12" s="416">
        <v>5</v>
      </c>
      <c r="B12" s="423" t="s">
        <v>577</v>
      </c>
      <c r="C12" s="266">
        <v>193000</v>
      </c>
      <c r="D12" s="282"/>
      <c r="E12" s="266"/>
      <c r="F12" s="266">
        <f t="shared" si="0"/>
        <v>193000</v>
      </c>
      <c r="G12" s="278"/>
      <c r="H12" s="266"/>
      <c r="I12" s="282"/>
      <c r="J12" s="416">
        <v>5</v>
      </c>
      <c r="K12" s="423" t="s">
        <v>577</v>
      </c>
      <c r="L12" s="266">
        <v>193000</v>
      </c>
      <c r="M12" s="282"/>
      <c r="N12" s="266"/>
      <c r="O12" s="266">
        <f t="shared" si="1"/>
        <v>193000</v>
      </c>
      <c r="P12" s="278"/>
      <c r="Q12" s="266"/>
    </row>
    <row r="13" spans="1:17" ht="18.75" customHeight="1">
      <c r="A13" s="416">
        <v>6</v>
      </c>
      <c r="B13" s="423" t="s">
        <v>578</v>
      </c>
      <c r="C13" s="266">
        <v>602000</v>
      </c>
      <c r="D13" s="282"/>
      <c r="E13" s="266"/>
      <c r="F13" s="266">
        <f t="shared" si="0"/>
        <v>602000</v>
      </c>
      <c r="G13" s="278"/>
      <c r="H13" s="266"/>
      <c r="I13" s="282"/>
      <c r="J13" s="416">
        <v>6</v>
      </c>
      <c r="K13" s="423" t="s">
        <v>578</v>
      </c>
      <c r="L13" s="266">
        <v>602000</v>
      </c>
      <c r="M13" s="282"/>
      <c r="N13" s="266"/>
      <c r="O13" s="266">
        <f t="shared" si="1"/>
        <v>602000</v>
      </c>
      <c r="P13" s="278"/>
      <c r="Q13" s="266"/>
    </row>
    <row r="14" spans="1:17" ht="19.5" customHeight="1">
      <c r="A14" s="416">
        <v>7</v>
      </c>
      <c r="B14" s="423" t="s">
        <v>579</v>
      </c>
      <c r="C14" s="266">
        <v>92000</v>
      </c>
      <c r="D14" s="282"/>
      <c r="E14" s="266"/>
      <c r="F14" s="266">
        <f t="shared" si="0"/>
        <v>92000</v>
      </c>
      <c r="G14" s="278"/>
      <c r="H14" s="266"/>
      <c r="I14" s="282"/>
      <c r="J14" s="416">
        <v>7</v>
      </c>
      <c r="K14" s="423" t="s">
        <v>579</v>
      </c>
      <c r="L14" s="266">
        <v>92000</v>
      </c>
      <c r="M14" s="282"/>
      <c r="N14" s="266"/>
      <c r="O14" s="266">
        <f t="shared" si="1"/>
        <v>92000</v>
      </c>
      <c r="P14" s="278"/>
      <c r="Q14" s="266"/>
    </row>
    <row r="15" spans="1:17" ht="18.75" customHeight="1">
      <c r="A15" s="416">
        <v>8</v>
      </c>
      <c r="B15" s="423" t="s">
        <v>976</v>
      </c>
      <c r="C15" s="266">
        <v>246467</v>
      </c>
      <c r="D15" s="282"/>
      <c r="E15" s="266"/>
      <c r="F15" s="266">
        <f t="shared" si="0"/>
        <v>246467</v>
      </c>
      <c r="G15" s="278"/>
      <c r="H15" s="266"/>
      <c r="I15" s="282"/>
      <c r="J15" s="416">
        <v>8</v>
      </c>
      <c r="K15" s="423" t="s">
        <v>976</v>
      </c>
      <c r="L15" s="266">
        <v>246467</v>
      </c>
      <c r="M15" s="282"/>
      <c r="N15" s="266"/>
      <c r="O15" s="266">
        <f t="shared" si="1"/>
        <v>246467</v>
      </c>
      <c r="P15" s="278"/>
      <c r="Q15" s="266"/>
    </row>
    <row r="16" spans="1:17" ht="18.75" customHeight="1">
      <c r="A16" s="416">
        <v>9</v>
      </c>
      <c r="B16" s="423" t="s">
        <v>580</v>
      </c>
      <c r="C16" s="266">
        <v>137900</v>
      </c>
      <c r="D16" s="282"/>
      <c r="E16" s="266"/>
      <c r="F16" s="266">
        <f t="shared" si="0"/>
        <v>137900</v>
      </c>
      <c r="G16" s="278"/>
      <c r="H16" s="266"/>
      <c r="I16" s="282"/>
      <c r="J16" s="416">
        <v>9</v>
      </c>
      <c r="K16" s="423" t="s">
        <v>580</v>
      </c>
      <c r="L16" s="266">
        <v>137900</v>
      </c>
      <c r="M16" s="282"/>
      <c r="N16" s="266"/>
      <c r="O16" s="266">
        <f t="shared" si="1"/>
        <v>137900</v>
      </c>
      <c r="P16" s="278"/>
      <c r="Q16" s="266"/>
    </row>
    <row r="17" spans="1:17" ht="19.5" customHeight="1">
      <c r="A17" s="416">
        <v>10</v>
      </c>
      <c r="B17" s="423" t="s">
        <v>581</v>
      </c>
      <c r="C17" s="266">
        <v>69200</v>
      </c>
      <c r="D17" s="282"/>
      <c r="E17" s="266"/>
      <c r="F17" s="266">
        <f t="shared" si="0"/>
        <v>69200</v>
      </c>
      <c r="G17" s="278"/>
      <c r="H17" s="266"/>
      <c r="I17" s="282"/>
      <c r="J17" s="416">
        <v>10</v>
      </c>
      <c r="K17" s="423" t="s">
        <v>581</v>
      </c>
      <c r="L17" s="266">
        <v>69200</v>
      </c>
      <c r="M17" s="282"/>
      <c r="N17" s="266"/>
      <c r="O17" s="266">
        <f t="shared" si="1"/>
        <v>69200</v>
      </c>
      <c r="P17" s="278"/>
      <c r="Q17" s="266"/>
    </row>
    <row r="18" spans="1:17" ht="18" customHeight="1">
      <c r="A18" s="416">
        <v>11</v>
      </c>
      <c r="B18" s="423" t="s">
        <v>582</v>
      </c>
      <c r="C18" s="266">
        <v>1814400</v>
      </c>
      <c r="D18" s="282"/>
      <c r="E18" s="266"/>
      <c r="F18" s="266">
        <f t="shared" si="0"/>
        <v>1814400</v>
      </c>
      <c r="G18" s="278"/>
      <c r="H18" s="266"/>
      <c r="I18" s="282"/>
      <c r="J18" s="416">
        <v>11</v>
      </c>
      <c r="K18" s="423" t="s">
        <v>582</v>
      </c>
      <c r="L18" s="266">
        <v>1814400</v>
      </c>
      <c r="M18" s="282"/>
      <c r="N18" s="266"/>
      <c r="O18" s="266">
        <f t="shared" si="1"/>
        <v>1814400</v>
      </c>
      <c r="P18" s="278"/>
      <c r="Q18" s="266"/>
    </row>
    <row r="19" spans="1:17" ht="18.75" customHeight="1">
      <c r="A19" s="416">
        <v>12</v>
      </c>
      <c r="B19" s="423" t="s">
        <v>583</v>
      </c>
      <c r="C19" s="266">
        <v>6700000</v>
      </c>
      <c r="D19" s="282"/>
      <c r="E19" s="266"/>
      <c r="F19" s="266">
        <f t="shared" si="0"/>
        <v>6700000</v>
      </c>
      <c r="G19" s="278"/>
      <c r="H19" s="266"/>
      <c r="I19" s="282"/>
      <c r="J19" s="416">
        <v>12</v>
      </c>
      <c r="K19" s="423" t="s">
        <v>583</v>
      </c>
      <c r="L19" s="266">
        <v>6700000</v>
      </c>
      <c r="M19" s="282"/>
      <c r="N19" s="266"/>
      <c r="O19" s="266">
        <f t="shared" si="1"/>
        <v>6700000</v>
      </c>
      <c r="P19" s="278"/>
      <c r="Q19" s="266"/>
    </row>
    <row r="20" spans="1:17" ht="18" customHeight="1">
      <c r="A20" s="416">
        <v>13</v>
      </c>
      <c r="B20" s="423" t="s">
        <v>584</v>
      </c>
      <c r="C20" s="266">
        <v>580000</v>
      </c>
      <c r="D20" s="282"/>
      <c r="E20" s="266"/>
      <c r="F20" s="266">
        <f t="shared" si="0"/>
        <v>580000</v>
      </c>
      <c r="G20" s="278"/>
      <c r="H20" s="266"/>
      <c r="I20" s="282">
        <f>1814400-1638400</f>
        <v>176000</v>
      </c>
      <c r="J20" s="416">
        <v>13</v>
      </c>
      <c r="K20" s="423" t="s">
        <v>584</v>
      </c>
      <c r="L20" s="266">
        <v>580000</v>
      </c>
      <c r="M20" s="282"/>
      <c r="N20" s="266"/>
      <c r="O20" s="266">
        <f t="shared" si="1"/>
        <v>580000</v>
      </c>
      <c r="P20" s="278"/>
      <c r="Q20" s="266"/>
    </row>
    <row r="21" spans="1:17" ht="17.25" customHeight="1">
      <c r="A21" s="416">
        <v>14</v>
      </c>
      <c r="B21" s="423" t="s">
        <v>413</v>
      </c>
      <c r="C21" s="266">
        <v>579000</v>
      </c>
      <c r="D21" s="282"/>
      <c r="E21" s="266"/>
      <c r="F21" s="266">
        <f t="shared" si="0"/>
        <v>579000</v>
      </c>
      <c r="G21" s="278"/>
      <c r="H21" s="266"/>
      <c r="I21" s="282"/>
      <c r="J21" s="416">
        <v>14</v>
      </c>
      <c r="K21" s="423" t="s">
        <v>413</v>
      </c>
      <c r="L21" s="266">
        <v>579000</v>
      </c>
      <c r="M21" s="282"/>
      <c r="N21" s="266"/>
      <c r="O21" s="266">
        <f t="shared" si="1"/>
        <v>579000</v>
      </c>
      <c r="P21" s="278"/>
      <c r="Q21" s="266"/>
    </row>
    <row r="22" spans="1:17" ht="16.5" customHeight="1">
      <c r="A22" s="416">
        <v>15</v>
      </c>
      <c r="B22" s="423" t="s">
        <v>414</v>
      </c>
      <c r="C22" s="266">
        <v>1197000</v>
      </c>
      <c r="D22" s="266"/>
      <c r="E22" s="266"/>
      <c r="F22" s="266">
        <f t="shared" si="0"/>
        <v>1197000</v>
      </c>
      <c r="G22" s="278"/>
      <c r="H22" s="266"/>
      <c r="I22" s="282">
        <v>580000</v>
      </c>
      <c r="J22" s="416">
        <v>15</v>
      </c>
      <c r="K22" s="423" t="s">
        <v>414</v>
      </c>
      <c r="L22" s="266">
        <v>1197000</v>
      </c>
      <c r="M22" s="266"/>
      <c r="N22" s="266"/>
      <c r="O22" s="266">
        <f t="shared" si="1"/>
        <v>1197000</v>
      </c>
      <c r="P22" s="278"/>
      <c r="Q22" s="266"/>
    </row>
    <row r="23" spans="1:17" ht="16.5" customHeight="1">
      <c r="A23" s="416">
        <v>16</v>
      </c>
      <c r="B23" s="423" t="s">
        <v>1027</v>
      </c>
      <c r="C23" s="266">
        <v>408500</v>
      </c>
      <c r="D23" s="282"/>
      <c r="E23" s="266"/>
      <c r="F23" s="266">
        <v>408500</v>
      </c>
      <c r="G23" s="278"/>
      <c r="H23" s="266"/>
      <c r="I23" s="282"/>
      <c r="J23" s="416">
        <v>16</v>
      </c>
      <c r="K23" s="423" t="s">
        <v>1027</v>
      </c>
      <c r="L23" s="266">
        <v>408500</v>
      </c>
      <c r="M23" s="282"/>
      <c r="N23" s="266"/>
      <c r="O23" s="266">
        <v>408500</v>
      </c>
      <c r="P23" s="278"/>
      <c r="Q23" s="266"/>
    </row>
    <row r="24" spans="1:17" ht="17.25" customHeight="1">
      <c r="A24" s="414" t="s">
        <v>977</v>
      </c>
      <c r="B24" s="424" t="s">
        <v>978</v>
      </c>
      <c r="C24" s="266"/>
      <c r="D24" s="282"/>
      <c r="E24" s="266"/>
      <c r="F24" s="266"/>
      <c r="G24" s="278"/>
      <c r="H24" s="266"/>
      <c r="I24" s="282">
        <v>157000</v>
      </c>
      <c r="J24" s="414" t="s">
        <v>977</v>
      </c>
      <c r="K24" s="424" t="s">
        <v>978</v>
      </c>
      <c r="L24" s="266"/>
      <c r="M24" s="282"/>
      <c r="N24" s="266"/>
      <c r="O24" s="266"/>
      <c r="P24" s="278"/>
      <c r="Q24" s="266"/>
    </row>
    <row r="25" spans="1:17" ht="21.75">
      <c r="A25" s="416">
        <v>1</v>
      </c>
      <c r="B25" s="423" t="s">
        <v>120</v>
      </c>
      <c r="C25" s="266">
        <v>1113373.37</v>
      </c>
      <c r="D25" s="282">
        <v>103600</v>
      </c>
      <c r="E25" s="266">
        <v>94000</v>
      </c>
      <c r="F25" s="266">
        <f>C25+D25-E25</f>
        <v>1122973.37</v>
      </c>
      <c r="G25" s="266"/>
      <c r="H25" s="266"/>
      <c r="J25" s="416">
        <v>1</v>
      </c>
      <c r="K25" s="423" t="s">
        <v>120</v>
      </c>
      <c r="L25" s="266">
        <v>1113373.37</v>
      </c>
      <c r="M25" s="282">
        <v>103600</v>
      </c>
      <c r="N25" s="266">
        <v>94000</v>
      </c>
      <c r="O25" s="266">
        <f>L25+M25-N25</f>
        <v>1122973.37</v>
      </c>
      <c r="P25" s="266"/>
      <c r="Q25" s="266"/>
    </row>
    <row r="26" spans="1:17" ht="21.75">
      <c r="A26" s="416">
        <v>2</v>
      </c>
      <c r="B26" s="423" t="s">
        <v>1032</v>
      </c>
      <c r="C26" s="266">
        <v>199300</v>
      </c>
      <c r="D26" s="282"/>
      <c r="E26" s="266"/>
      <c r="F26" s="266">
        <f>C26+D26-E26</f>
        <v>199300</v>
      </c>
      <c r="G26" s="277"/>
      <c r="H26" s="266"/>
      <c r="J26" s="416">
        <v>2</v>
      </c>
      <c r="K26" s="423" t="s">
        <v>1032</v>
      </c>
      <c r="L26" s="266">
        <v>199300</v>
      </c>
      <c r="M26" s="282"/>
      <c r="N26" s="266"/>
      <c r="O26" s="266">
        <f>L26+M26-N26</f>
        <v>199300</v>
      </c>
      <c r="P26" s="277"/>
      <c r="Q26" s="266"/>
    </row>
    <row r="27" spans="1:17" ht="21.75">
      <c r="A27" s="416">
        <v>3</v>
      </c>
      <c r="B27" s="423" t="s">
        <v>121</v>
      </c>
      <c r="C27" s="266">
        <v>2190380</v>
      </c>
      <c r="D27" s="282"/>
      <c r="E27" s="266"/>
      <c r="F27" s="266">
        <f>C27+D27</f>
        <v>2190380</v>
      </c>
      <c r="G27" s="278"/>
      <c r="H27" s="266"/>
      <c r="J27" s="416">
        <v>3</v>
      </c>
      <c r="K27" s="423" t="s">
        <v>121</v>
      </c>
      <c r="L27" s="266">
        <v>2190380</v>
      </c>
      <c r="M27" s="282"/>
      <c r="N27" s="266"/>
      <c r="O27" s="266">
        <f>L27+M27</f>
        <v>2190380</v>
      </c>
      <c r="P27" s="278"/>
      <c r="Q27" s="266"/>
    </row>
    <row r="28" spans="1:17" ht="21.75">
      <c r="A28" s="416">
        <v>4</v>
      </c>
      <c r="B28" s="423" t="s">
        <v>1033</v>
      </c>
      <c r="C28" s="266">
        <v>222500</v>
      </c>
      <c r="D28" s="282"/>
      <c r="E28" s="266"/>
      <c r="F28" s="266">
        <f>C28+D28-E28</f>
        <v>222500</v>
      </c>
      <c r="G28" s="278"/>
      <c r="H28" s="266"/>
      <c r="J28" s="416">
        <v>4</v>
      </c>
      <c r="K28" s="423" t="s">
        <v>1033</v>
      </c>
      <c r="L28" s="266">
        <v>222500</v>
      </c>
      <c r="M28" s="282"/>
      <c r="N28" s="266"/>
      <c r="O28" s="266">
        <f>L28+M28-N28</f>
        <v>222500</v>
      </c>
      <c r="P28" s="278"/>
      <c r="Q28" s="266"/>
    </row>
    <row r="29" spans="1:17" ht="21.75">
      <c r="A29" s="416">
        <v>5</v>
      </c>
      <c r="B29" s="423" t="s">
        <v>19</v>
      </c>
      <c r="C29" s="266"/>
      <c r="D29" s="282">
        <f>28350+42000+46200+15000+17550+49500+30000+40800+18600+29100+70400+88000+72000+66000+79200+87600+48000+63200+83800</f>
        <v>975300</v>
      </c>
      <c r="E29" s="266"/>
      <c r="F29" s="266">
        <f>C29+D29-E29</f>
        <v>975300</v>
      </c>
      <c r="G29" s="278"/>
      <c r="H29" s="266"/>
      <c r="J29" s="416"/>
      <c r="K29" s="423" t="s">
        <v>19</v>
      </c>
      <c r="L29" s="266"/>
      <c r="M29" s="282">
        <f>28350+42000+46200+15000+17550+49500+30000+40800+18600+29100+70400+88000+72000+66000+79200+87600+48000+63200+83800</f>
        <v>975300</v>
      </c>
      <c r="N29" s="266"/>
      <c r="O29" s="266">
        <f>L29+M29-N29</f>
        <v>975300</v>
      </c>
      <c r="P29" s="278"/>
      <c r="Q29" s="266"/>
    </row>
    <row r="30" spans="1:17" ht="21.75">
      <c r="A30" s="416">
        <v>6</v>
      </c>
      <c r="B30" s="423" t="s">
        <v>122</v>
      </c>
      <c r="C30" s="266">
        <v>751450</v>
      </c>
      <c r="D30" s="282"/>
      <c r="E30" s="266"/>
      <c r="F30" s="266">
        <f>C30+D30</f>
        <v>751450</v>
      </c>
      <c r="G30" s="278"/>
      <c r="H30" s="266"/>
      <c r="J30" s="416">
        <v>5</v>
      </c>
      <c r="K30" s="423" t="s">
        <v>122</v>
      </c>
      <c r="L30" s="266">
        <v>751450</v>
      </c>
      <c r="M30" s="282"/>
      <c r="N30" s="266"/>
      <c r="O30" s="266">
        <f>L30+M30</f>
        <v>751450</v>
      </c>
      <c r="P30" s="278"/>
      <c r="Q30" s="266"/>
    </row>
    <row r="31" spans="1:17" ht="21.75">
      <c r="A31" s="416">
        <v>7</v>
      </c>
      <c r="B31" s="423" t="s">
        <v>1034</v>
      </c>
      <c r="C31" s="266">
        <v>36000</v>
      </c>
      <c r="D31" s="282"/>
      <c r="E31" s="266"/>
      <c r="F31" s="266">
        <f>C31+D31</f>
        <v>36000</v>
      </c>
      <c r="G31" s="278"/>
      <c r="H31" s="266"/>
      <c r="J31" s="416">
        <v>6</v>
      </c>
      <c r="K31" s="423" t="s">
        <v>1034</v>
      </c>
      <c r="L31" s="266">
        <v>36000</v>
      </c>
      <c r="M31" s="282"/>
      <c r="N31" s="266"/>
      <c r="O31" s="266">
        <f>L31+M31</f>
        <v>36000</v>
      </c>
      <c r="P31" s="278"/>
      <c r="Q31" s="266"/>
    </row>
    <row r="32" spans="1:17" ht="21.75">
      <c r="A32" s="416">
        <v>8</v>
      </c>
      <c r="B32" s="423" t="s">
        <v>1035</v>
      </c>
      <c r="C32" s="266">
        <v>14500</v>
      </c>
      <c r="D32" s="282"/>
      <c r="E32" s="266"/>
      <c r="F32" s="266">
        <f>C32+D32</f>
        <v>14500</v>
      </c>
      <c r="G32" s="278"/>
      <c r="H32" s="266"/>
      <c r="J32" s="416">
        <v>7</v>
      </c>
      <c r="K32" s="423" t="s">
        <v>1035</v>
      </c>
      <c r="L32" s="266">
        <v>14500</v>
      </c>
      <c r="M32" s="282"/>
      <c r="N32" s="266"/>
      <c r="O32" s="266">
        <f>L32+M32</f>
        <v>14500</v>
      </c>
      <c r="P32" s="278"/>
      <c r="Q32" s="266"/>
    </row>
    <row r="33" spans="1:17" ht="21.75">
      <c r="A33" s="416">
        <v>9</v>
      </c>
      <c r="B33" s="423" t="s">
        <v>1036</v>
      </c>
      <c r="C33" s="266">
        <v>255580</v>
      </c>
      <c r="D33" s="282"/>
      <c r="E33" s="266"/>
      <c r="F33" s="266">
        <f>C33+D33-E33</f>
        <v>255580</v>
      </c>
      <c r="G33" s="278"/>
      <c r="H33" s="266"/>
      <c r="J33" s="416">
        <v>8</v>
      </c>
      <c r="K33" s="423" t="s">
        <v>1036</v>
      </c>
      <c r="L33" s="266">
        <v>255580</v>
      </c>
      <c r="M33" s="282"/>
      <c r="N33" s="266"/>
      <c r="O33" s="266">
        <f>L33+M33-N33</f>
        <v>255580</v>
      </c>
      <c r="P33" s="278"/>
      <c r="Q33" s="266"/>
    </row>
    <row r="34" spans="1:17" ht="21.75">
      <c r="A34" s="549">
        <v>10</v>
      </c>
      <c r="B34" s="423" t="s">
        <v>1037</v>
      </c>
      <c r="C34" s="266">
        <v>38400</v>
      </c>
      <c r="D34" s="282"/>
      <c r="E34" s="266"/>
      <c r="F34" s="266">
        <v>38400</v>
      </c>
      <c r="G34" s="278"/>
      <c r="H34" s="266"/>
      <c r="J34" s="416">
        <v>9</v>
      </c>
      <c r="K34" s="423" t="s">
        <v>1037</v>
      </c>
      <c r="L34" s="266">
        <v>38400</v>
      </c>
      <c r="M34" s="282"/>
      <c r="N34" s="266"/>
      <c r="O34" s="266">
        <v>38400</v>
      </c>
      <c r="P34" s="278"/>
      <c r="Q34" s="266"/>
    </row>
    <row r="35" spans="1:17" ht="21.75">
      <c r="A35" s="417">
        <v>11</v>
      </c>
      <c r="B35" s="425" t="s">
        <v>1038</v>
      </c>
      <c r="C35" s="274">
        <v>51626</v>
      </c>
      <c r="D35" s="419"/>
      <c r="E35" s="274"/>
      <c r="F35" s="274">
        <f>C35+D35-E35</f>
        <v>51626</v>
      </c>
      <c r="G35" s="364"/>
      <c r="H35" s="418"/>
      <c r="J35" s="417">
        <v>10</v>
      </c>
      <c r="K35" s="425" t="s">
        <v>1038</v>
      </c>
      <c r="L35" s="274">
        <v>51626</v>
      </c>
      <c r="M35" s="419"/>
      <c r="N35" s="274"/>
      <c r="O35" s="274">
        <f>L35+M35-N35</f>
        <v>51626</v>
      </c>
      <c r="P35" s="364"/>
      <c r="Q35" s="418"/>
    </row>
    <row r="36" spans="1:17" ht="22.5" thickBot="1">
      <c r="A36" s="257"/>
      <c r="B36" s="257"/>
      <c r="C36" s="420">
        <f>SUM(C8:C35)</f>
        <v>28768691.37</v>
      </c>
      <c r="D36" s="421">
        <f>SUM(D8:D35)</f>
        <v>1078900</v>
      </c>
      <c r="E36" s="422">
        <f>SUM(E25:E35)</f>
        <v>94000</v>
      </c>
      <c r="F36" s="420">
        <f>SUM(F8:F35)</f>
        <v>29753591.37</v>
      </c>
      <c r="G36" s="278"/>
      <c r="H36" s="420">
        <f>SUM(H7:H35)</f>
        <v>29753591.369999997</v>
      </c>
      <c r="J36" s="257"/>
      <c r="K36" s="257"/>
      <c r="L36" s="420">
        <f>SUM(L8:L35)</f>
        <v>28768691.37</v>
      </c>
      <c r="M36" s="421">
        <f>SUM(M8:M35)</f>
        <v>1078900</v>
      </c>
      <c r="N36" s="422">
        <f>SUM(N25:N35)</f>
        <v>94000</v>
      </c>
      <c r="O36" s="420">
        <f>SUM(O8:O35)</f>
        <v>29753591.37</v>
      </c>
      <c r="P36" s="278"/>
      <c r="Q36" s="420">
        <f>SUM(Q7:Q35)</f>
        <v>28768691.369999997</v>
      </c>
    </row>
    <row r="37" spans="1:17" ht="22.5" thickTop="1">
      <c r="A37" s="257"/>
      <c r="B37" s="257"/>
      <c r="C37" s="427"/>
      <c r="D37" s="427"/>
      <c r="E37" s="277"/>
      <c r="F37" s="427"/>
      <c r="G37" s="278"/>
      <c r="H37" s="427"/>
      <c r="J37" s="257"/>
      <c r="K37" s="257"/>
      <c r="L37" s="427"/>
      <c r="M37" s="427"/>
      <c r="N37" s="277"/>
      <c r="O37" s="427"/>
      <c r="P37" s="278"/>
      <c r="Q37" s="427"/>
    </row>
    <row r="38" spans="1:17" ht="38.25" customHeight="1">
      <c r="A38" s="3"/>
      <c r="B38" s="3"/>
      <c r="C38" s="3"/>
      <c r="D38" s="11"/>
      <c r="E38" s="3"/>
      <c r="F38" s="3"/>
      <c r="G38" s="3"/>
      <c r="H38" s="3"/>
      <c r="J38" s="3"/>
      <c r="K38" s="3"/>
      <c r="L38" s="3"/>
      <c r="M38" s="11"/>
      <c r="N38" s="3"/>
      <c r="O38" s="3"/>
      <c r="P38" s="3"/>
      <c r="Q38" s="3"/>
    </row>
    <row r="39" spans="1:17" ht="22.5">
      <c r="A39" s="278"/>
      <c r="B39" s="136" t="s">
        <v>361</v>
      </c>
      <c r="C39" s="138"/>
      <c r="D39" s="143"/>
      <c r="E39" s="277"/>
      <c r="F39" s="427"/>
      <c r="G39" s="278"/>
      <c r="H39" s="427"/>
      <c r="J39" s="278"/>
      <c r="K39" s="136" t="s">
        <v>361</v>
      </c>
      <c r="L39" s="138"/>
      <c r="M39" s="143"/>
      <c r="N39" s="277"/>
      <c r="O39" s="427"/>
      <c r="P39" s="278"/>
      <c r="Q39" s="427"/>
    </row>
    <row r="40" spans="1:17" ht="22.5">
      <c r="A40" s="3"/>
      <c r="B40" s="136" t="s">
        <v>362</v>
      </c>
      <c r="C40" s="138"/>
      <c r="D40" s="244"/>
      <c r="E40" s="3"/>
      <c r="F40" s="3"/>
      <c r="G40" s="3"/>
      <c r="H40" s="3"/>
      <c r="I40" s="112"/>
      <c r="J40" s="3"/>
      <c r="K40" s="136" t="s">
        <v>362</v>
      </c>
      <c r="L40" s="138"/>
      <c r="M40" s="244"/>
      <c r="N40" s="3"/>
      <c r="O40" s="3"/>
      <c r="P40" s="3"/>
      <c r="Q40" s="3"/>
    </row>
    <row r="41" spans="1:17" ht="22.5">
      <c r="A41" s="3"/>
      <c r="B41" s="3"/>
      <c r="C41" s="3"/>
      <c r="D41" s="11"/>
      <c r="E41" s="3"/>
      <c r="F41" s="3"/>
      <c r="G41" s="3"/>
      <c r="H41" s="3"/>
      <c r="I41" s="112"/>
      <c r="J41" s="3"/>
      <c r="K41" s="3"/>
      <c r="L41" s="3"/>
      <c r="M41" s="11"/>
      <c r="N41" s="3"/>
      <c r="O41" s="3"/>
      <c r="P41" s="3"/>
      <c r="Q41" s="3"/>
    </row>
    <row r="42" spans="1:17" ht="22.5">
      <c r="A42" s="3"/>
      <c r="B42" s="3"/>
      <c r="C42" s="3"/>
      <c r="D42" s="11"/>
      <c r="E42" s="3"/>
      <c r="F42" s="3"/>
      <c r="G42" s="3"/>
      <c r="H42" s="3"/>
      <c r="I42" s="112"/>
      <c r="J42" s="3"/>
      <c r="K42" s="3"/>
      <c r="L42" s="3"/>
      <c r="M42" s="11"/>
      <c r="N42" s="3"/>
      <c r="O42" s="3"/>
      <c r="P42" s="3"/>
      <c r="Q42" s="3"/>
    </row>
    <row r="43" spans="1:17" ht="22.5">
      <c r="A43" s="3"/>
      <c r="B43" s="3"/>
      <c r="C43" s="3"/>
      <c r="D43" s="11"/>
      <c r="E43" s="3"/>
      <c r="F43" s="3"/>
      <c r="G43" s="3"/>
      <c r="H43" s="3"/>
      <c r="I43" s="112"/>
      <c r="J43" s="3"/>
      <c r="K43" s="3"/>
      <c r="L43" s="3"/>
      <c r="M43" s="11"/>
      <c r="N43" s="3"/>
      <c r="O43" s="3"/>
      <c r="P43" s="3"/>
      <c r="Q43" s="3"/>
    </row>
    <row r="44" spans="1:15" ht="21.75">
      <c r="A44" s="813" t="s">
        <v>415</v>
      </c>
      <c r="B44" s="813"/>
      <c r="C44" s="813"/>
      <c r="D44" s="813"/>
      <c r="E44" s="813"/>
      <c r="F44" s="813"/>
      <c r="G44" s="813"/>
      <c r="H44" s="813"/>
      <c r="I44" s="112"/>
      <c r="J44" s="112"/>
      <c r="K44" s="112"/>
      <c r="L44" s="112"/>
      <c r="M44" s="112"/>
      <c r="N44" s="112"/>
      <c r="O44" s="112"/>
    </row>
    <row r="45" spans="1:15" ht="21.75">
      <c r="A45" s="838" t="s">
        <v>1140</v>
      </c>
      <c r="B45" s="839"/>
      <c r="C45" s="412" t="s">
        <v>966</v>
      </c>
      <c r="D45" s="842" t="s">
        <v>967</v>
      </c>
      <c r="E45" s="842" t="s">
        <v>968</v>
      </c>
      <c r="F45" s="842" t="s">
        <v>969</v>
      </c>
      <c r="G45" s="842" t="s">
        <v>970</v>
      </c>
      <c r="H45" s="842" t="s">
        <v>971</v>
      </c>
      <c r="I45" s="112"/>
      <c r="J45" s="112"/>
      <c r="K45" s="112"/>
      <c r="L45" s="112"/>
      <c r="M45" s="112"/>
      <c r="N45" s="112"/>
      <c r="O45" s="112"/>
    </row>
    <row r="46" spans="1:15" ht="21.75">
      <c r="A46" s="840"/>
      <c r="B46" s="841"/>
      <c r="C46" s="413" t="s">
        <v>972</v>
      </c>
      <c r="D46" s="843"/>
      <c r="E46" s="843"/>
      <c r="F46" s="843"/>
      <c r="G46" s="843"/>
      <c r="H46" s="843"/>
      <c r="I46" s="430"/>
      <c r="J46" s="112"/>
      <c r="K46" s="112"/>
      <c r="L46" s="112"/>
      <c r="M46" s="112"/>
      <c r="N46" s="112"/>
      <c r="O46" s="112"/>
    </row>
    <row r="47" spans="1:15" ht="21.75">
      <c r="A47" s="414" t="s">
        <v>408</v>
      </c>
      <c r="B47" s="415" t="s">
        <v>973</v>
      </c>
      <c r="C47" s="352"/>
      <c r="D47" s="282"/>
      <c r="E47" s="266"/>
      <c r="F47" s="266"/>
      <c r="G47" s="423" t="s">
        <v>974</v>
      </c>
      <c r="H47" s="266">
        <f>9368206.37+52000-104725</f>
        <v>9315481.37</v>
      </c>
      <c r="I47" s="430"/>
      <c r="J47" s="266">
        <f>52000</f>
        <v>52000</v>
      </c>
      <c r="K47" s="111"/>
      <c r="L47" s="112"/>
      <c r="M47" s="112"/>
      <c r="N47" s="112"/>
      <c r="O47" s="112"/>
    </row>
    <row r="48" spans="1:15" ht="21.75">
      <c r="A48" s="416">
        <v>1</v>
      </c>
      <c r="B48" s="423" t="s">
        <v>1141</v>
      </c>
      <c r="C48" s="266">
        <v>1539049</v>
      </c>
      <c r="D48" s="282">
        <v>1210000</v>
      </c>
      <c r="E48" s="266"/>
      <c r="F48" s="266">
        <f aca="true" t="shared" si="2" ref="F48:F62">C48+D48</f>
        <v>2749049</v>
      </c>
      <c r="G48" s="423" t="s">
        <v>1127</v>
      </c>
      <c r="H48" s="266">
        <f>7797316+3452900</f>
        <v>11250216</v>
      </c>
      <c r="I48" s="430"/>
      <c r="J48" s="266">
        <f>1586000+234900+422000+1210000</f>
        <v>3452900</v>
      </c>
      <c r="K48" s="111"/>
      <c r="L48" s="112"/>
      <c r="M48" s="112"/>
      <c r="N48" s="112"/>
      <c r="O48" s="112"/>
    </row>
    <row r="49" spans="1:15" ht="21.75">
      <c r="A49" s="416">
        <v>2</v>
      </c>
      <c r="B49" s="423" t="s">
        <v>575</v>
      </c>
      <c r="C49" s="266">
        <v>6854166</v>
      </c>
      <c r="D49" s="282">
        <v>234900</v>
      </c>
      <c r="E49" s="266"/>
      <c r="F49" s="266">
        <f t="shared" si="2"/>
        <v>7089066</v>
      </c>
      <c r="G49" s="423" t="s">
        <v>1256</v>
      </c>
      <c r="H49" s="266">
        <f>4045+21500-845</f>
        <v>24700</v>
      </c>
      <c r="I49" s="430"/>
      <c r="J49" s="266">
        <f>4500+17000</f>
        <v>21500</v>
      </c>
      <c r="K49" s="111"/>
      <c r="L49" s="112"/>
      <c r="M49" s="112"/>
      <c r="N49" s="112"/>
      <c r="O49" s="112"/>
    </row>
    <row r="50" spans="1:15" ht="21.75">
      <c r="A50" s="416">
        <v>3</v>
      </c>
      <c r="B50" s="423" t="s">
        <v>576</v>
      </c>
      <c r="C50" s="266">
        <v>1371500</v>
      </c>
      <c r="D50" s="282"/>
      <c r="E50" s="266"/>
      <c r="F50" s="266">
        <f t="shared" si="2"/>
        <v>1371500</v>
      </c>
      <c r="G50" s="423" t="s">
        <v>211</v>
      </c>
      <c r="H50" s="266">
        <f>6308900+1197000</f>
        <v>7505900</v>
      </c>
      <c r="I50" s="430"/>
      <c r="J50" s="266">
        <v>1197000</v>
      </c>
      <c r="K50" s="111"/>
      <c r="L50" s="112"/>
      <c r="M50" s="112"/>
      <c r="N50" s="112"/>
      <c r="O50" s="112"/>
    </row>
    <row r="51" spans="1:15" ht="21.75">
      <c r="A51" s="416">
        <v>4</v>
      </c>
      <c r="B51" s="423" t="s">
        <v>975</v>
      </c>
      <c r="C51" s="266">
        <v>66500</v>
      </c>
      <c r="D51" s="282"/>
      <c r="E51" s="266"/>
      <c r="F51" s="266">
        <f t="shared" si="2"/>
        <v>66500</v>
      </c>
      <c r="G51" s="423" t="s">
        <v>212</v>
      </c>
      <c r="H51" s="266">
        <v>356000</v>
      </c>
      <c r="I51" s="430"/>
      <c r="J51" s="266">
        <f>SUM(J47:J50)</f>
        <v>4723400</v>
      </c>
      <c r="K51" s="111"/>
      <c r="L51" s="112"/>
      <c r="M51" s="112"/>
      <c r="N51" s="112"/>
      <c r="O51" s="112"/>
    </row>
    <row r="52" spans="1:15" ht="21.75">
      <c r="A52" s="416">
        <v>5</v>
      </c>
      <c r="B52" s="423" t="s">
        <v>577</v>
      </c>
      <c r="C52" s="266">
        <v>193000</v>
      </c>
      <c r="D52" s="282"/>
      <c r="E52" s="266"/>
      <c r="F52" s="266">
        <f t="shared" si="2"/>
        <v>193000</v>
      </c>
      <c r="G52" s="278"/>
      <c r="H52" s="266"/>
      <c r="I52" s="430"/>
      <c r="J52" s="266">
        <f aca="true" t="shared" si="3" ref="J52:J60">G52+H52</f>
        <v>0</v>
      </c>
      <c r="K52" s="111"/>
      <c r="L52" s="112"/>
      <c r="M52" s="112"/>
      <c r="N52" s="112"/>
      <c r="O52" s="112"/>
    </row>
    <row r="53" spans="1:15" ht="21.75">
      <c r="A53" s="416">
        <v>6</v>
      </c>
      <c r="B53" s="423" t="s">
        <v>578</v>
      </c>
      <c r="C53" s="266">
        <v>602000</v>
      </c>
      <c r="D53" s="282"/>
      <c r="E53" s="266"/>
      <c r="F53" s="266">
        <f t="shared" si="2"/>
        <v>602000</v>
      </c>
      <c r="G53" s="278"/>
      <c r="H53" s="266"/>
      <c r="I53" s="430"/>
      <c r="J53" s="266">
        <f t="shared" si="3"/>
        <v>0</v>
      </c>
      <c r="K53" s="111"/>
      <c r="L53" s="112"/>
      <c r="M53" s="112"/>
      <c r="N53" s="112"/>
      <c r="O53" s="112"/>
    </row>
    <row r="54" spans="1:15" ht="21.75">
      <c r="A54" s="416">
        <v>7</v>
      </c>
      <c r="B54" s="423" t="s">
        <v>579</v>
      </c>
      <c r="C54" s="266">
        <v>92000</v>
      </c>
      <c r="D54" s="282"/>
      <c r="E54" s="266"/>
      <c r="F54" s="266">
        <f t="shared" si="2"/>
        <v>92000</v>
      </c>
      <c r="G54" s="278"/>
      <c r="H54" s="266"/>
      <c r="I54" s="430"/>
      <c r="J54" s="266">
        <f t="shared" si="3"/>
        <v>0</v>
      </c>
      <c r="K54" s="111"/>
      <c r="L54" s="112"/>
      <c r="M54" s="112"/>
      <c r="N54" s="112"/>
      <c r="O54" s="112"/>
    </row>
    <row r="55" spans="1:15" ht="21.75">
      <c r="A55" s="416">
        <v>8</v>
      </c>
      <c r="B55" s="423" t="s">
        <v>976</v>
      </c>
      <c r="C55" s="266">
        <v>246467</v>
      </c>
      <c r="D55" s="282"/>
      <c r="E55" s="266"/>
      <c r="F55" s="266">
        <f t="shared" si="2"/>
        <v>246467</v>
      </c>
      <c r="G55" s="278"/>
      <c r="H55" s="266"/>
      <c r="I55" s="430"/>
      <c r="J55" s="266">
        <f t="shared" si="3"/>
        <v>0</v>
      </c>
      <c r="K55" s="111"/>
      <c r="L55" s="112"/>
      <c r="M55" s="112"/>
      <c r="N55" s="112"/>
      <c r="O55" s="112"/>
    </row>
    <row r="56" spans="1:15" ht="21.75">
      <c r="A56" s="416">
        <v>9</v>
      </c>
      <c r="B56" s="423" t="s">
        <v>580</v>
      </c>
      <c r="C56" s="266">
        <v>137900</v>
      </c>
      <c r="D56" s="282"/>
      <c r="E56" s="266"/>
      <c r="F56" s="266">
        <f t="shared" si="2"/>
        <v>137900</v>
      </c>
      <c r="G56" s="278"/>
      <c r="H56" s="266"/>
      <c r="I56" s="430"/>
      <c r="J56" s="266">
        <f t="shared" si="3"/>
        <v>0</v>
      </c>
      <c r="K56" s="111"/>
      <c r="L56" s="112"/>
      <c r="M56" s="112"/>
      <c r="N56" s="112"/>
      <c r="O56" s="112"/>
    </row>
    <row r="57" spans="1:15" ht="21.75">
      <c r="A57" s="416">
        <v>10</v>
      </c>
      <c r="B57" s="423" t="s">
        <v>581</v>
      </c>
      <c r="C57" s="266">
        <v>69200</v>
      </c>
      <c r="D57" s="282"/>
      <c r="E57" s="266"/>
      <c r="F57" s="266">
        <f t="shared" si="2"/>
        <v>69200</v>
      </c>
      <c r="G57" s="278"/>
      <c r="H57" s="266"/>
      <c r="I57" s="430"/>
      <c r="J57" s="266">
        <f t="shared" si="3"/>
        <v>0</v>
      </c>
      <c r="K57" s="111"/>
      <c r="L57" s="112"/>
      <c r="M57" s="112"/>
      <c r="N57" s="112"/>
      <c r="O57" s="112"/>
    </row>
    <row r="58" spans="1:15" ht="21.75">
      <c r="A58" s="416">
        <v>11</v>
      </c>
      <c r="B58" s="423" t="s">
        <v>582</v>
      </c>
      <c r="C58" s="266">
        <v>1814400</v>
      </c>
      <c r="D58" s="282"/>
      <c r="E58" s="266"/>
      <c r="F58" s="266">
        <f t="shared" si="2"/>
        <v>1814400</v>
      </c>
      <c r="G58" s="278"/>
      <c r="H58" s="266"/>
      <c r="I58" s="430"/>
      <c r="J58" s="266">
        <f t="shared" si="3"/>
        <v>0</v>
      </c>
      <c r="K58" s="111"/>
      <c r="L58" s="112"/>
      <c r="M58" s="112"/>
      <c r="N58" s="112"/>
      <c r="O58" s="112"/>
    </row>
    <row r="59" spans="1:15" ht="21.75">
      <c r="A59" s="416">
        <v>12</v>
      </c>
      <c r="B59" s="423" t="s">
        <v>583</v>
      </c>
      <c r="C59" s="266">
        <v>6700000</v>
      </c>
      <c r="D59" s="282"/>
      <c r="E59" s="266"/>
      <c r="F59" s="266">
        <f t="shared" si="2"/>
        <v>6700000</v>
      </c>
      <c r="G59" s="278"/>
      <c r="H59" s="266"/>
      <c r="I59" s="430"/>
      <c r="J59" s="266">
        <f t="shared" si="3"/>
        <v>0</v>
      </c>
      <c r="K59" s="111"/>
      <c r="L59" s="112"/>
      <c r="M59" s="112"/>
      <c r="N59" s="112"/>
      <c r="O59" s="112"/>
    </row>
    <row r="60" spans="1:15" ht="21.75">
      <c r="A60" s="416">
        <v>13</v>
      </c>
      <c r="B60" s="423" t="s">
        <v>584</v>
      </c>
      <c r="C60" s="266">
        <v>580000</v>
      </c>
      <c r="D60" s="282"/>
      <c r="E60" s="266"/>
      <c r="F60" s="266">
        <f t="shared" si="2"/>
        <v>580000</v>
      </c>
      <c r="G60" s="278"/>
      <c r="H60" s="266"/>
      <c r="I60" s="112"/>
      <c r="J60" s="266">
        <f t="shared" si="3"/>
        <v>0</v>
      </c>
      <c r="K60" s="111"/>
      <c r="L60" s="112"/>
      <c r="M60" s="112"/>
      <c r="N60" s="112"/>
      <c r="O60" s="112"/>
    </row>
    <row r="61" spans="1:15" ht="21.75">
      <c r="A61" s="416">
        <v>14</v>
      </c>
      <c r="B61" s="423" t="s">
        <v>413</v>
      </c>
      <c r="C61" s="266">
        <v>157000</v>
      </c>
      <c r="D61" s="282">
        <v>422000</v>
      </c>
      <c r="E61" s="266"/>
      <c r="F61" s="266">
        <f t="shared" si="2"/>
        <v>579000</v>
      </c>
      <c r="G61" s="278"/>
      <c r="H61" s="266"/>
      <c r="I61" s="112"/>
      <c r="J61" s="266"/>
      <c r="K61" s="175"/>
      <c r="L61" s="112"/>
      <c r="M61" s="112"/>
      <c r="N61" s="112"/>
      <c r="O61" s="112"/>
    </row>
    <row r="62" spans="1:15" ht="21.75">
      <c r="A62" s="416">
        <v>15</v>
      </c>
      <c r="B62" s="423" t="s">
        <v>414</v>
      </c>
      <c r="C62" s="266"/>
      <c r="D62" s="266">
        <v>1197000</v>
      </c>
      <c r="E62" s="266"/>
      <c r="F62" s="266">
        <f t="shared" si="2"/>
        <v>1197000</v>
      </c>
      <c r="G62" s="278"/>
      <c r="H62" s="266"/>
      <c r="I62" s="112"/>
      <c r="J62" s="266"/>
      <c r="K62" s="175"/>
      <c r="L62" s="112"/>
      <c r="M62" s="112"/>
      <c r="N62" s="112"/>
      <c r="O62" s="112"/>
    </row>
    <row r="63" spans="1:15" ht="21.75">
      <c r="A63" s="414" t="s">
        <v>977</v>
      </c>
      <c r="B63" s="424" t="s">
        <v>978</v>
      </c>
      <c r="C63" s="266"/>
      <c r="D63" s="282"/>
      <c r="E63" s="266"/>
      <c r="F63" s="266"/>
      <c r="G63" s="278"/>
      <c r="H63" s="266"/>
      <c r="I63" s="112"/>
      <c r="J63" s="266">
        <v>1166843.37</v>
      </c>
      <c r="K63" s="112"/>
      <c r="L63" s="112"/>
      <c r="M63" s="112"/>
      <c r="N63" s="112"/>
      <c r="O63" s="112"/>
    </row>
    <row r="64" spans="1:15" ht="21.75">
      <c r="A64" s="416">
        <v>1</v>
      </c>
      <c r="B64" s="423" t="s">
        <v>120</v>
      </c>
      <c r="C64" s="266">
        <v>1166843.37</v>
      </c>
      <c r="D64" s="282">
        <v>5000</v>
      </c>
      <c r="E64" s="266">
        <f>4225+19800+19500+845+3000+1200+5800+1600+2500</f>
        <v>58470</v>
      </c>
      <c r="F64" s="266">
        <f>C64+D64-E64</f>
        <v>1113373.37</v>
      </c>
      <c r="G64" s="266"/>
      <c r="H64" s="266"/>
      <c r="I64" s="112"/>
      <c r="J64" s="266">
        <f>G64+H64</f>
        <v>0</v>
      </c>
      <c r="K64" s="112"/>
      <c r="L64" s="112"/>
      <c r="M64" s="112"/>
      <c r="N64" s="112"/>
      <c r="O64" s="112"/>
    </row>
    <row r="65" spans="1:15" ht="21.75">
      <c r="A65" s="416">
        <v>2</v>
      </c>
      <c r="B65" s="423" t="s">
        <v>1032</v>
      </c>
      <c r="C65" s="266">
        <v>217900</v>
      </c>
      <c r="D65" s="282"/>
      <c r="E65" s="266">
        <v>18600</v>
      </c>
      <c r="F65" s="266">
        <f>C65+D65-E65</f>
        <v>199300</v>
      </c>
      <c r="G65" s="277"/>
      <c r="H65" s="266"/>
      <c r="I65" s="112"/>
      <c r="J65" s="266">
        <f>G65+H65</f>
        <v>0</v>
      </c>
      <c r="K65" s="112"/>
      <c r="L65" s="112"/>
      <c r="M65" s="112"/>
      <c r="N65" s="112"/>
      <c r="O65" s="112"/>
    </row>
    <row r="66" spans="1:15" ht="21.75">
      <c r="A66" s="416">
        <v>3</v>
      </c>
      <c r="B66" s="423" t="s">
        <v>121</v>
      </c>
      <c r="C66" s="266">
        <v>604380</v>
      </c>
      <c r="D66" s="282">
        <v>1586000</v>
      </c>
      <c r="E66" s="266"/>
      <c r="F66" s="266">
        <f>C66+D66</f>
        <v>2190380</v>
      </c>
      <c r="G66" s="278"/>
      <c r="H66" s="266"/>
      <c r="I66" s="112"/>
      <c r="J66" s="266">
        <v>297306</v>
      </c>
      <c r="K66" s="112"/>
      <c r="L66" s="112"/>
      <c r="M66" s="112"/>
      <c r="N66" s="112"/>
      <c r="O66" s="112"/>
    </row>
    <row r="67" spans="1:15" ht="21.75">
      <c r="A67" s="416">
        <v>4</v>
      </c>
      <c r="B67" s="423" t="s">
        <v>1033</v>
      </c>
      <c r="C67" s="266">
        <v>297306</v>
      </c>
      <c r="D67" s="282">
        <v>17000</v>
      </c>
      <c r="E67" s="266"/>
      <c r="F67" s="266">
        <f>C67+D67</f>
        <v>314306</v>
      </c>
      <c r="G67" s="278"/>
      <c r="H67" s="266"/>
      <c r="I67" s="112"/>
      <c r="J67" s="266">
        <v>712950</v>
      </c>
      <c r="K67" s="112"/>
      <c r="L67" s="112"/>
      <c r="M67" s="112"/>
      <c r="N67" s="112"/>
      <c r="O67" s="112"/>
    </row>
    <row r="68" spans="1:15" ht="21.75">
      <c r="A68" s="416">
        <v>5</v>
      </c>
      <c r="B68" s="423" t="s">
        <v>122</v>
      </c>
      <c r="C68" s="266">
        <v>712950</v>
      </c>
      <c r="D68" s="282">
        <v>38500</v>
      </c>
      <c r="E68" s="266"/>
      <c r="F68" s="266">
        <f>C68+D68</f>
        <v>751450</v>
      </c>
      <c r="G68" s="278"/>
      <c r="H68" s="266"/>
      <c r="I68" s="112"/>
      <c r="J68" s="266">
        <f>G68+H68</f>
        <v>0</v>
      </c>
      <c r="K68" s="112"/>
      <c r="L68" s="112"/>
      <c r="M68" s="112"/>
      <c r="N68" s="112"/>
      <c r="O68" s="112"/>
    </row>
    <row r="69" spans="1:15" ht="21.75">
      <c r="A69" s="416">
        <v>6</v>
      </c>
      <c r="B69" s="423" t="s">
        <v>1034</v>
      </c>
      <c r="C69" s="266">
        <v>36000</v>
      </c>
      <c r="D69" s="282"/>
      <c r="E69" s="266"/>
      <c r="F69" s="266">
        <f>C69+D69</f>
        <v>36000</v>
      </c>
      <c r="G69" s="278"/>
      <c r="H69" s="266"/>
      <c r="I69" s="112"/>
      <c r="J69" s="266">
        <f>G69+H69</f>
        <v>0</v>
      </c>
      <c r="K69" s="112"/>
      <c r="L69" s="112"/>
      <c r="M69" s="112"/>
      <c r="N69" s="112"/>
      <c r="O69" s="112"/>
    </row>
    <row r="70" spans="1:15" ht="21.75">
      <c r="A70" s="416">
        <v>7</v>
      </c>
      <c r="B70" s="423" t="s">
        <v>1035</v>
      </c>
      <c r="C70" s="266">
        <v>14500</v>
      </c>
      <c r="D70" s="282"/>
      <c r="E70" s="266"/>
      <c r="F70" s="266">
        <f>C70+D70</f>
        <v>14500</v>
      </c>
      <c r="G70" s="278"/>
      <c r="H70" s="266"/>
      <c r="I70" s="112"/>
      <c r="J70" s="266">
        <v>268080</v>
      </c>
      <c r="K70" s="112"/>
      <c r="L70" s="112"/>
      <c r="M70" s="112"/>
      <c r="N70" s="112"/>
      <c r="O70" s="112"/>
    </row>
    <row r="71" spans="1:15" ht="21.75">
      <c r="A71" s="416">
        <v>8</v>
      </c>
      <c r="B71" s="423" t="s">
        <v>1036</v>
      </c>
      <c r="C71" s="266">
        <v>268080</v>
      </c>
      <c r="D71" s="282">
        <v>13000</v>
      </c>
      <c r="E71" s="266">
        <f>8000+11000+6500</f>
        <v>25500</v>
      </c>
      <c r="F71" s="266">
        <f>C71+D71-E71</f>
        <v>255580</v>
      </c>
      <c r="G71" s="278"/>
      <c r="H71" s="266"/>
      <c r="I71" s="112"/>
      <c r="J71" s="266">
        <v>38400</v>
      </c>
      <c r="K71" s="112"/>
      <c r="L71" s="112"/>
      <c r="M71" s="112"/>
      <c r="N71" s="112"/>
      <c r="O71" s="112"/>
    </row>
    <row r="72" spans="1:15" ht="21.75">
      <c r="A72" s="416">
        <v>9</v>
      </c>
      <c r="B72" s="423" t="s">
        <v>1037</v>
      </c>
      <c r="C72" s="266">
        <v>38400</v>
      </c>
      <c r="D72" s="282"/>
      <c r="E72" s="266"/>
      <c r="F72" s="266">
        <v>38400</v>
      </c>
      <c r="G72" s="278"/>
      <c r="H72" s="266"/>
      <c r="I72" s="112"/>
      <c r="J72" s="274">
        <v>54926</v>
      </c>
      <c r="K72" s="112"/>
      <c r="L72" s="112"/>
      <c r="M72" s="112"/>
      <c r="N72" s="112"/>
      <c r="O72" s="112"/>
    </row>
    <row r="73" spans="1:15" ht="21.75">
      <c r="A73" s="417">
        <v>10</v>
      </c>
      <c r="B73" s="425" t="s">
        <v>1038</v>
      </c>
      <c r="C73" s="418">
        <v>54926</v>
      </c>
      <c r="D73" s="419"/>
      <c r="E73" s="274">
        <v>3000</v>
      </c>
      <c r="F73" s="266">
        <f>C73+D73-E73</f>
        <v>51926</v>
      </c>
      <c r="G73" s="364"/>
      <c r="H73" s="418"/>
      <c r="I73" s="112"/>
      <c r="J73" s="112"/>
      <c r="K73" s="112"/>
      <c r="L73" s="112"/>
      <c r="M73" s="112"/>
      <c r="N73" s="112"/>
      <c r="O73" s="112"/>
    </row>
    <row r="74" spans="1:15" ht="22.5" thickBot="1">
      <c r="A74" s="257"/>
      <c r="B74" s="257"/>
      <c r="C74" s="420">
        <f>SUM(C48:C73)</f>
        <v>23834467.37</v>
      </c>
      <c r="D74" s="421">
        <f>SUM(D48:D73)</f>
        <v>4723400</v>
      </c>
      <c r="E74" s="422">
        <f>SUM(E48:E73)</f>
        <v>105570</v>
      </c>
      <c r="F74" s="420">
        <f>SUM(F48:F73)</f>
        <v>28452297.37</v>
      </c>
      <c r="G74" s="278"/>
      <c r="H74" s="420">
        <f>SUM(H47:H73)</f>
        <v>28452297.369999997</v>
      </c>
      <c r="I74" s="112"/>
      <c r="J74" s="112"/>
      <c r="K74" s="112"/>
      <c r="L74" s="112"/>
      <c r="M74" s="112"/>
      <c r="N74" s="112"/>
      <c r="O74" s="112"/>
    </row>
    <row r="75" spans="1:15" ht="23.25" thickTop="1">
      <c r="A75" s="3"/>
      <c r="B75" s="3"/>
      <c r="C75" s="3"/>
      <c r="D75" s="11"/>
      <c r="E75" s="3"/>
      <c r="F75" s="3"/>
      <c r="G75" s="3"/>
      <c r="H75" s="3"/>
      <c r="I75" s="112"/>
      <c r="J75" s="112"/>
      <c r="K75" s="112"/>
      <c r="L75" s="112"/>
      <c r="M75" s="112"/>
      <c r="N75" s="112"/>
      <c r="O75" s="112"/>
    </row>
    <row r="76" spans="1:15" ht="21.75">
      <c r="A76" s="278"/>
      <c r="B76" s="278">
        <f>23834467.37+4723400</f>
        <v>28557867.37</v>
      </c>
      <c r="C76" s="427"/>
      <c r="D76" s="427"/>
      <c r="E76" s="277"/>
      <c r="F76" s="427"/>
      <c r="G76" s="278">
        <f>4225+19800+19500+11000+845+3000+1200+8000+5800+1600+6500+3000+2500+18600-845</f>
        <v>104725</v>
      </c>
      <c r="H76" s="427"/>
      <c r="I76" s="112"/>
      <c r="J76" s="112"/>
      <c r="K76" s="112"/>
      <c r="L76" s="112"/>
      <c r="M76" s="112"/>
      <c r="N76" s="112"/>
      <c r="O76" s="112"/>
    </row>
    <row r="77" spans="1:15" ht="22.5">
      <c r="A77" s="3"/>
      <c r="B77" s="3"/>
      <c r="C77" s="3"/>
      <c r="D77" s="11"/>
      <c r="E77" s="3"/>
      <c r="F77" s="3"/>
      <c r="G77" s="3"/>
      <c r="H77" s="3"/>
      <c r="I77" s="112"/>
      <c r="J77" s="112"/>
      <c r="K77" s="429"/>
      <c r="L77" s="429"/>
      <c r="M77" s="112"/>
      <c r="N77" s="112"/>
      <c r="O77" s="112"/>
    </row>
    <row r="78" spans="1:15" ht="22.5">
      <c r="A78" s="3"/>
      <c r="B78" s="3"/>
      <c r="C78" s="3"/>
      <c r="D78" s="11"/>
      <c r="E78" s="3"/>
      <c r="F78" s="3"/>
      <c r="G78" s="3"/>
      <c r="H78" s="3"/>
      <c r="I78" s="112"/>
      <c r="J78" s="112"/>
      <c r="K78" s="277"/>
      <c r="L78" s="277"/>
      <c r="M78" s="112"/>
      <c r="N78" s="112"/>
      <c r="O78" s="112"/>
    </row>
    <row r="79" spans="1:15" ht="22.5">
      <c r="A79" s="3"/>
      <c r="B79" s="3"/>
      <c r="C79" s="3"/>
      <c r="D79" s="11"/>
      <c r="E79" s="3"/>
      <c r="F79" s="3"/>
      <c r="G79" s="3"/>
      <c r="H79" s="3"/>
      <c r="I79" s="112"/>
      <c r="J79" s="112"/>
      <c r="K79" s="277"/>
      <c r="L79" s="277"/>
      <c r="M79" s="112"/>
      <c r="N79" s="112"/>
      <c r="O79" s="112"/>
    </row>
    <row r="80" spans="1:15" ht="22.5">
      <c r="A80" s="3"/>
      <c r="B80" s="3"/>
      <c r="C80" s="3"/>
      <c r="D80" s="11"/>
      <c r="E80" s="3"/>
      <c r="F80" s="3"/>
      <c r="G80" s="3"/>
      <c r="H80" s="3"/>
      <c r="I80" s="112"/>
      <c r="J80" s="112"/>
      <c r="K80" s="429"/>
      <c r="L80" s="429"/>
      <c r="M80" s="112"/>
      <c r="N80" s="112"/>
      <c r="O80" s="112"/>
    </row>
    <row r="81" spans="1:15" ht="21.75">
      <c r="A81" s="1"/>
      <c r="B81" s="1"/>
      <c r="C81" s="1"/>
      <c r="D81" s="1"/>
      <c r="E81" s="1"/>
      <c r="F81" s="1"/>
      <c r="G81" s="1"/>
      <c r="H81" s="1"/>
      <c r="I81" s="112"/>
      <c r="J81" s="112"/>
      <c r="K81" s="277"/>
      <c r="L81" s="277"/>
      <c r="M81" s="112"/>
      <c r="N81" s="112"/>
      <c r="O81" s="112"/>
    </row>
    <row r="82" spans="1:15" ht="21.75">
      <c r="A82" s="844"/>
      <c r="B82" s="844"/>
      <c r="C82" s="844"/>
      <c r="D82" s="844"/>
      <c r="E82" s="844"/>
      <c r="F82" s="844"/>
      <c r="G82" s="844"/>
      <c r="H82" s="844"/>
      <c r="I82" s="112"/>
      <c r="J82" s="112"/>
      <c r="K82" s="277"/>
      <c r="L82" s="277"/>
      <c r="M82" s="112"/>
      <c r="N82" s="112"/>
      <c r="O82" s="112"/>
    </row>
    <row r="83" spans="1:15" ht="21.75">
      <c r="A83" s="844"/>
      <c r="B83" s="844"/>
      <c r="C83" s="844"/>
      <c r="D83" s="844"/>
      <c r="E83" s="844"/>
      <c r="F83" s="844"/>
      <c r="G83" s="844"/>
      <c r="H83" s="844"/>
      <c r="I83" s="112"/>
      <c r="J83" s="112"/>
      <c r="K83" s="277"/>
      <c r="L83" s="277"/>
      <c r="M83" s="112"/>
      <c r="N83" s="112"/>
      <c r="O83" s="112"/>
    </row>
    <row r="84" spans="1:15" ht="21.75">
      <c r="A84" s="844"/>
      <c r="B84" s="844"/>
      <c r="C84" s="844"/>
      <c r="D84" s="844"/>
      <c r="E84" s="844"/>
      <c r="F84" s="844"/>
      <c r="G84" s="844"/>
      <c r="H84" s="844"/>
      <c r="I84" s="112"/>
      <c r="J84" s="112"/>
      <c r="K84" s="429"/>
      <c r="L84" s="429"/>
      <c r="M84" s="112"/>
      <c r="N84" s="112"/>
      <c r="O84" s="112"/>
    </row>
    <row r="85" spans="1:15" ht="21.75">
      <c r="A85" s="845"/>
      <c r="B85" s="845"/>
      <c r="C85" s="426"/>
      <c r="D85" s="845"/>
      <c r="E85" s="845"/>
      <c r="F85" s="845"/>
      <c r="G85" s="845"/>
      <c r="H85" s="845"/>
      <c r="I85" s="112"/>
      <c r="J85" s="112"/>
      <c r="K85" s="277"/>
      <c r="L85" s="277"/>
      <c r="M85" s="112"/>
      <c r="N85" s="112"/>
      <c r="O85" s="112"/>
    </row>
    <row r="86" spans="1:15" ht="21.75">
      <c r="A86" s="845"/>
      <c r="B86" s="845"/>
      <c r="C86" s="426"/>
      <c r="D86" s="845"/>
      <c r="E86" s="845"/>
      <c r="F86" s="845"/>
      <c r="G86" s="845"/>
      <c r="H86" s="845"/>
      <c r="I86" s="112"/>
      <c r="J86" s="112"/>
      <c r="K86" s="431"/>
      <c r="L86" s="431"/>
      <c r="M86" s="112"/>
      <c r="N86" s="112"/>
      <c r="O86" s="112"/>
    </row>
    <row r="87" spans="1:15" ht="21.75">
      <c r="A87" s="415"/>
      <c r="B87" s="415"/>
      <c r="C87" s="277"/>
      <c r="D87" s="277"/>
      <c r="E87" s="277"/>
      <c r="F87" s="277"/>
      <c r="G87" s="278"/>
      <c r="H87" s="277"/>
      <c r="I87" s="112"/>
      <c r="J87" s="112"/>
      <c r="K87" s="175"/>
      <c r="L87" s="175"/>
      <c r="M87" s="112"/>
      <c r="N87" s="112"/>
      <c r="O87" s="112"/>
    </row>
    <row r="88" spans="1:15" ht="21.75">
      <c r="A88" s="278"/>
      <c r="B88" s="278"/>
      <c r="C88" s="277"/>
      <c r="D88" s="277"/>
      <c r="E88" s="277"/>
      <c r="F88" s="277"/>
      <c r="G88" s="278"/>
      <c r="H88" s="277"/>
      <c r="I88" s="112"/>
      <c r="J88" s="112"/>
      <c r="K88" s="112"/>
      <c r="L88" s="112"/>
      <c r="M88" s="112"/>
      <c r="N88" s="112"/>
      <c r="O88" s="112"/>
    </row>
    <row r="89" spans="1:15" ht="21.75">
      <c r="A89" s="278"/>
      <c r="B89" s="278"/>
      <c r="C89" s="277"/>
      <c r="D89" s="277"/>
      <c r="E89" s="277"/>
      <c r="F89" s="277"/>
      <c r="G89" s="278"/>
      <c r="H89" s="277"/>
      <c r="I89" s="112"/>
      <c r="J89" s="112"/>
      <c r="K89" s="112"/>
      <c r="L89" s="112"/>
      <c r="M89" s="112"/>
      <c r="N89" s="112"/>
      <c r="O89" s="112"/>
    </row>
    <row r="90" spans="1:15" ht="21.75">
      <c r="A90" s="278"/>
      <c r="B90" s="278"/>
      <c r="C90" s="277"/>
      <c r="D90" s="277"/>
      <c r="E90" s="277"/>
      <c r="F90" s="277"/>
      <c r="G90" s="278"/>
      <c r="H90" s="277"/>
      <c r="I90" s="112"/>
      <c r="J90" s="112"/>
      <c r="K90" s="112"/>
      <c r="L90" s="112"/>
      <c r="M90" s="112"/>
      <c r="N90" s="112"/>
      <c r="O90" s="112"/>
    </row>
    <row r="91" spans="1:15" ht="21.75">
      <c r="A91" s="278"/>
      <c r="B91" s="278"/>
      <c r="C91" s="277"/>
      <c r="D91" s="277"/>
      <c r="E91" s="277"/>
      <c r="F91" s="277"/>
      <c r="G91" s="278"/>
      <c r="H91" s="277"/>
      <c r="I91" s="112"/>
      <c r="J91" s="112"/>
      <c r="K91" s="112"/>
      <c r="L91" s="112"/>
      <c r="M91" s="112"/>
      <c r="N91" s="112"/>
      <c r="O91" s="112"/>
    </row>
    <row r="92" spans="1:15" ht="21.75">
      <c r="A92" s="278"/>
      <c r="B92" s="278"/>
      <c r="C92" s="277"/>
      <c r="D92" s="277"/>
      <c r="E92" s="277"/>
      <c r="F92" s="277"/>
      <c r="G92" s="278"/>
      <c r="H92" s="277"/>
      <c r="I92" s="112"/>
      <c r="J92" s="112"/>
      <c r="K92" s="112"/>
      <c r="L92" s="112"/>
      <c r="M92" s="112"/>
      <c r="N92" s="112"/>
      <c r="O92" s="112"/>
    </row>
    <row r="93" spans="1:15" ht="21.75">
      <c r="A93" s="278"/>
      <c r="B93" s="278"/>
      <c r="C93" s="277"/>
      <c r="D93" s="277"/>
      <c r="E93" s="277"/>
      <c r="F93" s="277"/>
      <c r="G93" s="278"/>
      <c r="H93" s="277"/>
      <c r="I93" s="112"/>
      <c r="J93" s="112"/>
      <c r="K93" s="112"/>
      <c r="L93" s="112"/>
      <c r="M93" s="112"/>
      <c r="N93" s="112"/>
      <c r="O93" s="112"/>
    </row>
    <row r="94" spans="1:15" ht="21.75">
      <c r="A94" s="278"/>
      <c r="B94" s="278"/>
      <c r="C94" s="277"/>
      <c r="D94" s="277"/>
      <c r="E94" s="277"/>
      <c r="F94" s="277"/>
      <c r="G94" s="278"/>
      <c r="H94" s="277"/>
      <c r="I94" s="112"/>
      <c r="J94" s="112"/>
      <c r="K94" s="112"/>
      <c r="L94" s="112"/>
      <c r="M94" s="112"/>
      <c r="N94" s="112"/>
      <c r="O94" s="112"/>
    </row>
    <row r="95" spans="1:15" ht="21.75">
      <c r="A95" s="278"/>
      <c r="B95" s="278"/>
      <c r="C95" s="277"/>
      <c r="D95" s="277"/>
      <c r="E95" s="277"/>
      <c r="F95" s="277"/>
      <c r="G95" s="278"/>
      <c r="H95" s="277"/>
      <c r="I95" s="112"/>
      <c r="J95" s="112"/>
      <c r="K95" s="112"/>
      <c r="L95" s="112"/>
      <c r="M95" s="112"/>
      <c r="N95" s="112"/>
      <c r="O95" s="112"/>
    </row>
    <row r="96" spans="1:15" ht="21.75">
      <c r="A96" s="278"/>
      <c r="B96" s="278"/>
      <c r="C96" s="277"/>
      <c r="D96" s="277"/>
      <c r="E96" s="277"/>
      <c r="F96" s="277"/>
      <c r="G96" s="278"/>
      <c r="H96" s="277"/>
      <c r="I96" s="112"/>
      <c r="J96" s="112"/>
      <c r="K96" s="112"/>
      <c r="L96" s="112"/>
      <c r="M96" s="112"/>
      <c r="N96" s="112"/>
      <c r="O96" s="112"/>
    </row>
    <row r="97" spans="1:15" ht="21.75">
      <c r="A97" s="278"/>
      <c r="B97" s="278"/>
      <c r="C97" s="277"/>
      <c r="D97" s="277"/>
      <c r="E97" s="277"/>
      <c r="F97" s="277"/>
      <c r="G97" s="278"/>
      <c r="H97" s="277"/>
      <c r="I97" s="112"/>
      <c r="J97" s="112"/>
      <c r="K97" s="112"/>
      <c r="L97" s="112"/>
      <c r="M97" s="112"/>
      <c r="N97" s="112"/>
      <c r="O97" s="112"/>
    </row>
    <row r="98" spans="1:15" ht="21.75">
      <c r="A98" s="278"/>
      <c r="B98" s="278"/>
      <c r="C98" s="277"/>
      <c r="D98" s="277"/>
      <c r="E98" s="277"/>
      <c r="F98" s="277"/>
      <c r="G98" s="278"/>
      <c r="H98" s="277"/>
      <c r="I98" s="112"/>
      <c r="J98" s="112"/>
      <c r="K98" s="112"/>
      <c r="L98" s="112"/>
      <c r="M98" s="112"/>
      <c r="N98" s="112"/>
      <c r="O98" s="112"/>
    </row>
    <row r="99" spans="1:15" ht="21.75">
      <c r="A99" s="278"/>
      <c r="B99" s="278"/>
      <c r="C99" s="277"/>
      <c r="D99" s="277"/>
      <c r="E99" s="277"/>
      <c r="F99" s="277"/>
      <c r="G99" s="278"/>
      <c r="H99" s="277"/>
      <c r="I99" s="112"/>
      <c r="J99" s="112"/>
      <c r="K99" s="112"/>
      <c r="L99" s="112"/>
      <c r="M99" s="112"/>
      <c r="N99" s="112"/>
      <c r="O99" s="112"/>
    </row>
    <row r="100" spans="1:15" ht="21.75">
      <c r="A100" s="415"/>
      <c r="B100" s="415"/>
      <c r="C100" s="277"/>
      <c r="D100" s="277"/>
      <c r="E100" s="277"/>
      <c r="F100" s="277"/>
      <c r="G100" s="278"/>
      <c r="H100" s="277"/>
      <c r="I100" s="112"/>
      <c r="J100" s="112"/>
      <c r="K100" s="112"/>
      <c r="L100" s="112"/>
      <c r="M100" s="112"/>
      <c r="N100" s="112"/>
      <c r="O100" s="112"/>
    </row>
    <row r="101" spans="1:15" ht="21.75">
      <c r="A101" s="278"/>
      <c r="B101" s="278"/>
      <c r="C101" s="277"/>
      <c r="D101" s="277"/>
      <c r="E101" s="277"/>
      <c r="F101" s="277"/>
      <c r="G101" s="277"/>
      <c r="H101" s="277"/>
      <c r="I101" s="112"/>
      <c r="J101" s="112"/>
      <c r="K101" s="112"/>
      <c r="L101" s="112"/>
      <c r="M101" s="112"/>
      <c r="N101" s="112"/>
      <c r="O101" s="112"/>
    </row>
    <row r="102" spans="1:15" ht="21.75">
      <c r="A102" s="278"/>
      <c r="B102" s="278"/>
      <c r="C102" s="277"/>
      <c r="D102" s="277"/>
      <c r="E102" s="277"/>
      <c r="F102" s="277"/>
      <c r="G102" s="277"/>
      <c r="H102" s="277"/>
      <c r="I102" s="112"/>
      <c r="J102" s="112"/>
      <c r="K102" s="112"/>
      <c r="L102" s="112"/>
      <c r="M102" s="112"/>
      <c r="N102" s="112"/>
      <c r="O102" s="112"/>
    </row>
    <row r="103" spans="1:15" ht="21.75">
      <c r="A103" s="278"/>
      <c r="B103" s="278"/>
      <c r="C103" s="277"/>
      <c r="D103" s="277"/>
      <c r="E103" s="277"/>
      <c r="F103" s="277"/>
      <c r="G103" s="278"/>
      <c r="H103" s="277"/>
      <c r="I103" s="112"/>
      <c r="J103" s="112"/>
      <c r="K103" s="112"/>
      <c r="L103" s="112"/>
      <c r="M103" s="112"/>
      <c r="N103" s="112"/>
      <c r="O103" s="112"/>
    </row>
    <row r="104" spans="1:15" ht="21.75">
      <c r="A104" s="278"/>
      <c r="B104" s="278"/>
      <c r="C104" s="277"/>
      <c r="D104" s="277"/>
      <c r="E104" s="277"/>
      <c r="F104" s="277"/>
      <c r="G104" s="278"/>
      <c r="H104" s="277"/>
      <c r="I104" s="112"/>
      <c r="J104" s="112"/>
      <c r="K104" s="112"/>
      <c r="L104" s="112"/>
      <c r="M104" s="112"/>
      <c r="N104" s="112"/>
      <c r="O104" s="112"/>
    </row>
    <row r="105" spans="1:15" ht="21.75">
      <c r="A105" s="278"/>
      <c r="B105" s="278"/>
      <c r="C105" s="277"/>
      <c r="D105" s="277"/>
      <c r="E105" s="277"/>
      <c r="F105" s="277"/>
      <c r="G105" s="278"/>
      <c r="H105" s="277"/>
      <c r="I105" s="112"/>
      <c r="J105" s="112"/>
      <c r="K105" s="112"/>
      <c r="L105" s="112"/>
      <c r="M105" s="112"/>
      <c r="N105" s="112"/>
      <c r="O105" s="112"/>
    </row>
    <row r="106" spans="1:15" ht="21.75">
      <c r="A106" s="278"/>
      <c r="B106" s="278"/>
      <c r="C106" s="277"/>
      <c r="D106" s="277"/>
      <c r="E106" s="277"/>
      <c r="F106" s="277"/>
      <c r="G106" s="278"/>
      <c r="H106" s="277"/>
      <c r="I106" s="112"/>
      <c r="J106" s="112"/>
      <c r="K106" s="112"/>
      <c r="L106" s="112"/>
      <c r="M106" s="112"/>
      <c r="N106" s="112"/>
      <c r="O106" s="112"/>
    </row>
    <row r="107" spans="1:15" ht="21.75">
      <c r="A107" s="278"/>
      <c r="B107" s="278"/>
      <c r="C107" s="277"/>
      <c r="D107" s="277"/>
      <c r="E107" s="277"/>
      <c r="F107" s="277"/>
      <c r="G107" s="278"/>
      <c r="H107" s="277"/>
      <c r="I107" s="112"/>
      <c r="J107" s="112"/>
      <c r="K107" s="112"/>
      <c r="L107" s="112"/>
      <c r="M107" s="112"/>
      <c r="N107" s="112"/>
      <c r="O107" s="112"/>
    </row>
    <row r="108" spans="1:15" ht="21.75">
      <c r="A108" s="278"/>
      <c r="B108" s="278"/>
      <c r="C108" s="277"/>
      <c r="D108" s="277"/>
      <c r="E108" s="277"/>
      <c r="F108" s="277"/>
      <c r="G108" s="278"/>
      <c r="H108" s="277"/>
      <c r="I108" s="112"/>
      <c r="J108" s="112"/>
      <c r="K108" s="112"/>
      <c r="L108" s="112"/>
      <c r="M108" s="112"/>
      <c r="N108" s="112"/>
      <c r="O108" s="112"/>
    </row>
    <row r="109" spans="1:15" ht="21.75">
      <c r="A109" s="278"/>
      <c r="B109" s="278"/>
      <c r="C109" s="277"/>
      <c r="D109" s="277"/>
      <c r="E109" s="277"/>
      <c r="F109" s="277"/>
      <c r="G109" s="278"/>
      <c r="H109" s="277"/>
      <c r="I109" s="112"/>
      <c r="J109" s="112"/>
      <c r="K109" s="112"/>
      <c r="L109" s="112"/>
      <c r="M109" s="112"/>
      <c r="N109" s="112"/>
      <c r="O109" s="112"/>
    </row>
    <row r="110" spans="1:15" ht="21.75">
      <c r="A110" s="342"/>
      <c r="B110" s="342"/>
      <c r="C110" s="345"/>
      <c r="D110" s="345"/>
      <c r="E110" s="345"/>
      <c r="F110" s="277"/>
      <c r="G110" s="342"/>
      <c r="H110" s="345"/>
      <c r="I110" s="112"/>
      <c r="J110" s="112"/>
      <c r="K110" s="112"/>
      <c r="L110" s="112"/>
      <c r="M110" s="112"/>
      <c r="N110" s="112"/>
      <c r="O110" s="112"/>
    </row>
    <row r="111" spans="1:15" ht="21.75">
      <c r="A111" s="278"/>
      <c r="B111" s="278"/>
      <c r="C111" s="427"/>
      <c r="D111" s="427"/>
      <c r="E111" s="277"/>
      <c r="F111" s="427"/>
      <c r="G111" s="278"/>
      <c r="H111" s="427"/>
      <c r="I111" s="112"/>
      <c r="J111" s="112"/>
      <c r="K111" s="112"/>
      <c r="L111" s="112"/>
      <c r="M111" s="112"/>
      <c r="N111" s="112"/>
      <c r="O111" s="112"/>
    </row>
    <row r="112" spans="1:15" ht="22.5">
      <c r="A112" s="3"/>
      <c r="B112" s="3"/>
      <c r="C112" s="3"/>
      <c r="D112" s="11"/>
      <c r="E112" s="3"/>
      <c r="F112" s="3"/>
      <c r="G112" s="3"/>
      <c r="H112" s="3"/>
      <c r="I112" s="112"/>
      <c r="J112" s="112"/>
      <c r="K112" s="112"/>
      <c r="L112" s="112"/>
      <c r="M112" s="112"/>
      <c r="N112" s="112"/>
      <c r="O112" s="112"/>
    </row>
    <row r="113" spans="1:15" ht="22.5">
      <c r="A113" s="3"/>
      <c r="B113" s="3"/>
      <c r="C113" s="3"/>
      <c r="D113" s="11"/>
      <c r="E113" s="3"/>
      <c r="F113" s="3"/>
      <c r="G113" s="3"/>
      <c r="H113" s="3"/>
      <c r="I113" s="112"/>
      <c r="J113" s="112"/>
      <c r="K113" s="112"/>
      <c r="L113" s="112"/>
      <c r="M113" s="112"/>
      <c r="N113" s="112"/>
      <c r="O113" s="112"/>
    </row>
    <row r="114" spans="1:15" ht="22.5">
      <c r="A114" s="3"/>
      <c r="B114" s="3"/>
      <c r="C114" s="3"/>
      <c r="D114" s="11"/>
      <c r="E114" s="3"/>
      <c r="F114" s="3"/>
      <c r="G114" s="3"/>
      <c r="H114" s="3"/>
      <c r="I114" s="112"/>
      <c r="J114" s="112"/>
      <c r="K114" s="112"/>
      <c r="L114" s="112"/>
      <c r="M114" s="112"/>
      <c r="N114" s="112"/>
      <c r="O114" s="112"/>
    </row>
    <row r="115" spans="1:15" ht="22.5">
      <c r="A115" s="3"/>
      <c r="B115" s="3"/>
      <c r="C115" s="3"/>
      <c r="D115" s="11"/>
      <c r="E115" s="3"/>
      <c r="F115" s="3"/>
      <c r="G115" s="3"/>
      <c r="H115" s="3"/>
      <c r="I115" s="277"/>
      <c r="J115" s="112"/>
      <c r="K115" s="112"/>
      <c r="L115" s="112"/>
      <c r="M115" s="112"/>
      <c r="N115" s="112"/>
      <c r="O115" s="112"/>
    </row>
    <row r="116" spans="1:15" ht="21.75">
      <c r="A116" s="112"/>
      <c r="B116" s="112"/>
      <c r="C116" s="112"/>
      <c r="D116" s="112"/>
      <c r="E116" s="112"/>
      <c r="F116" s="112"/>
      <c r="G116" s="112"/>
      <c r="H116" s="112"/>
      <c r="I116" s="277"/>
      <c r="J116" s="112"/>
      <c r="K116" s="112"/>
      <c r="L116" s="112"/>
      <c r="M116" s="112"/>
      <c r="N116" s="112"/>
      <c r="O116" s="112"/>
    </row>
    <row r="117" spans="1:15" ht="21.75">
      <c r="A117" s="112"/>
      <c r="B117" s="112"/>
      <c r="C117" s="277"/>
      <c r="D117" s="112"/>
      <c r="E117" s="112"/>
      <c r="F117" s="112"/>
      <c r="G117" s="112"/>
      <c r="H117" s="112"/>
      <c r="I117" s="277"/>
      <c r="J117" s="112"/>
      <c r="K117" s="112"/>
      <c r="L117" s="112"/>
      <c r="M117" s="112"/>
      <c r="N117" s="112"/>
      <c r="O117" s="112"/>
    </row>
    <row r="118" spans="1:15" ht="21.75">
      <c r="A118" s="112"/>
      <c r="B118" s="112"/>
      <c r="C118" s="277"/>
      <c r="D118" s="112"/>
      <c r="E118" s="112"/>
      <c r="F118" s="112"/>
      <c r="G118" s="112"/>
      <c r="H118" s="112"/>
      <c r="I118" s="277"/>
      <c r="J118" s="112"/>
      <c r="K118" s="112"/>
      <c r="L118" s="112"/>
      <c r="M118" s="112"/>
      <c r="N118" s="112"/>
      <c r="O118" s="112"/>
    </row>
    <row r="119" spans="1:15" ht="21.75">
      <c r="A119" s="112"/>
      <c r="B119" s="112"/>
      <c r="C119" s="277"/>
      <c r="D119" s="112"/>
      <c r="E119" s="112"/>
      <c r="F119" s="112"/>
      <c r="G119" s="112"/>
      <c r="H119" s="112"/>
      <c r="I119" s="277"/>
      <c r="J119" s="112"/>
      <c r="K119" s="112"/>
      <c r="L119" s="112"/>
      <c r="M119" s="112"/>
      <c r="N119" s="112"/>
      <c r="O119" s="112"/>
    </row>
    <row r="120" spans="1:15" ht="21.75">
      <c r="A120" s="112"/>
      <c r="B120" s="112"/>
      <c r="C120" s="277"/>
      <c r="D120" s="112"/>
      <c r="E120" s="112"/>
      <c r="F120" s="112"/>
      <c r="G120" s="112"/>
      <c r="H120" s="112"/>
      <c r="I120" s="277"/>
      <c r="J120" s="112"/>
      <c r="K120" s="112"/>
      <c r="L120" s="112"/>
      <c r="M120" s="112"/>
      <c r="N120" s="112"/>
      <c r="O120" s="112"/>
    </row>
    <row r="121" spans="1:15" ht="21.75">
      <c r="A121" s="112"/>
      <c r="B121" s="112"/>
      <c r="C121" s="277"/>
      <c r="D121" s="112"/>
      <c r="E121" s="112"/>
      <c r="F121" s="112"/>
      <c r="G121" s="112"/>
      <c r="H121" s="112"/>
      <c r="I121" s="277"/>
      <c r="J121" s="112"/>
      <c r="K121" s="112"/>
      <c r="L121" s="112"/>
      <c r="M121" s="112"/>
      <c r="N121" s="112"/>
      <c r="O121" s="112"/>
    </row>
    <row r="122" spans="1:15" ht="21.75">
      <c r="A122" s="112"/>
      <c r="B122" s="112"/>
      <c r="C122" s="277"/>
      <c r="D122" s="112"/>
      <c r="E122" s="112"/>
      <c r="F122" s="112"/>
      <c r="G122" s="112"/>
      <c r="H122" s="112"/>
      <c r="I122" s="277"/>
      <c r="J122" s="112"/>
      <c r="K122" s="112"/>
      <c r="L122" s="112"/>
      <c r="M122" s="112"/>
      <c r="N122" s="112"/>
      <c r="O122" s="112"/>
    </row>
    <row r="123" spans="1:15" ht="21.75">
      <c r="A123" s="112"/>
      <c r="B123" s="112"/>
      <c r="C123" s="277"/>
      <c r="D123" s="112"/>
      <c r="E123" s="112"/>
      <c r="F123" s="112"/>
      <c r="G123" s="112"/>
      <c r="H123" s="112"/>
      <c r="I123" s="277"/>
      <c r="J123" s="112"/>
      <c r="K123" s="112"/>
      <c r="L123" s="112"/>
      <c r="M123" s="112"/>
      <c r="N123" s="112"/>
      <c r="O123" s="112"/>
    </row>
    <row r="124" spans="1:15" ht="21.75">
      <c r="A124" s="112"/>
      <c r="B124" s="112"/>
      <c r="C124" s="277"/>
      <c r="D124" s="112"/>
      <c r="E124" s="112"/>
      <c r="F124" s="112"/>
      <c r="G124" s="112"/>
      <c r="H124" s="112"/>
      <c r="I124" s="277"/>
      <c r="J124" s="112"/>
      <c r="K124" s="112"/>
      <c r="L124" s="112"/>
      <c r="M124" s="112"/>
      <c r="N124" s="112"/>
      <c r="O124" s="112"/>
    </row>
    <row r="125" spans="1:15" ht="21.75">
      <c r="A125" s="112"/>
      <c r="B125" s="112"/>
      <c r="C125" s="277"/>
      <c r="D125" s="112"/>
      <c r="E125" s="112"/>
      <c r="F125" s="112"/>
      <c r="G125" s="112"/>
      <c r="H125" s="112"/>
      <c r="I125" s="277"/>
      <c r="J125" s="112"/>
      <c r="K125" s="112"/>
      <c r="L125" s="112"/>
      <c r="M125" s="112"/>
      <c r="N125" s="112"/>
      <c r="O125" s="112"/>
    </row>
    <row r="126" spans="1:15" ht="21.75">
      <c r="A126" s="112"/>
      <c r="B126" s="112"/>
      <c r="C126" s="277"/>
      <c r="D126" s="112"/>
      <c r="E126" s="112"/>
      <c r="F126" s="112"/>
      <c r="G126" s="112"/>
      <c r="H126" s="112"/>
      <c r="I126" s="277"/>
      <c r="J126" s="112"/>
      <c r="K126" s="112"/>
      <c r="L126" s="112"/>
      <c r="M126" s="112"/>
      <c r="N126" s="112"/>
      <c r="O126" s="112"/>
    </row>
    <row r="127" spans="1:15" ht="21.75">
      <c r="A127" s="112"/>
      <c r="B127" s="112"/>
      <c r="C127" s="277"/>
      <c r="D127" s="112"/>
      <c r="E127" s="112"/>
      <c r="F127" s="112"/>
      <c r="G127" s="112"/>
      <c r="H127" s="112"/>
      <c r="I127" s="277"/>
      <c r="J127" s="112"/>
      <c r="K127" s="112"/>
      <c r="L127" s="112"/>
      <c r="M127" s="112"/>
      <c r="N127" s="112"/>
      <c r="O127" s="112"/>
    </row>
    <row r="128" spans="1:15" ht="21.75">
      <c r="A128" s="112"/>
      <c r="B128" s="112"/>
      <c r="C128" s="277"/>
      <c r="D128" s="112"/>
      <c r="E128" s="112"/>
      <c r="F128" s="112"/>
      <c r="G128" s="112"/>
      <c r="H128" s="112"/>
      <c r="I128" s="277"/>
      <c r="J128" s="112"/>
      <c r="K128" s="112"/>
      <c r="L128" s="112"/>
      <c r="M128" s="112"/>
      <c r="N128" s="112"/>
      <c r="O128" s="112"/>
    </row>
    <row r="129" spans="1:15" ht="21.75">
      <c r="A129" s="112"/>
      <c r="B129" s="112"/>
      <c r="C129" s="277"/>
      <c r="D129" s="112"/>
      <c r="E129" s="112"/>
      <c r="F129" s="112"/>
      <c r="G129" s="112"/>
      <c r="H129" s="112"/>
      <c r="I129" s="277"/>
      <c r="J129" s="112"/>
      <c r="K129" s="112"/>
      <c r="L129" s="112"/>
      <c r="M129" s="112"/>
      <c r="N129" s="112"/>
      <c r="O129" s="112"/>
    </row>
    <row r="130" spans="1:15" ht="21.75">
      <c r="A130" s="112"/>
      <c r="B130" s="112"/>
      <c r="C130" s="277"/>
      <c r="D130" s="112"/>
      <c r="E130" s="112"/>
      <c r="F130" s="112"/>
      <c r="G130" s="112"/>
      <c r="H130" s="112"/>
      <c r="I130" s="277"/>
      <c r="J130" s="112"/>
      <c r="K130" s="112"/>
      <c r="L130" s="112"/>
      <c r="M130" s="112"/>
      <c r="N130" s="112"/>
      <c r="O130" s="112"/>
    </row>
    <row r="131" spans="1:15" ht="21.75">
      <c r="A131" s="112"/>
      <c r="B131" s="112"/>
      <c r="C131" s="277"/>
      <c r="D131" s="112"/>
      <c r="E131" s="112"/>
      <c r="F131" s="112"/>
      <c r="G131" s="112"/>
      <c r="H131" s="112"/>
      <c r="I131" s="277"/>
      <c r="J131" s="112"/>
      <c r="K131" s="112"/>
      <c r="L131" s="112"/>
      <c r="M131" s="112"/>
      <c r="N131" s="112"/>
      <c r="O131" s="112"/>
    </row>
    <row r="132" spans="1:15" ht="21.75">
      <c r="A132" s="112"/>
      <c r="B132" s="112"/>
      <c r="C132" s="277"/>
      <c r="D132" s="112"/>
      <c r="E132" s="112"/>
      <c r="F132" s="112"/>
      <c r="G132" s="112"/>
      <c r="H132" s="112"/>
      <c r="I132" s="277"/>
      <c r="J132" s="112"/>
      <c r="K132" s="112"/>
      <c r="L132" s="112"/>
      <c r="M132" s="112"/>
      <c r="N132" s="112"/>
      <c r="O132" s="112"/>
    </row>
    <row r="133" spans="1:15" ht="21.75">
      <c r="A133" s="112"/>
      <c r="B133" s="112"/>
      <c r="C133" s="277"/>
      <c r="D133" s="112"/>
      <c r="E133" s="112"/>
      <c r="F133" s="112"/>
      <c r="G133" s="112"/>
      <c r="H133" s="112"/>
      <c r="I133" s="277"/>
      <c r="J133" s="112"/>
      <c r="K133" s="112"/>
      <c r="L133" s="112"/>
      <c r="M133" s="112"/>
      <c r="N133" s="112"/>
      <c r="O133" s="112"/>
    </row>
    <row r="134" spans="1:15" ht="21.75">
      <c r="A134" s="112"/>
      <c r="B134" s="112"/>
      <c r="C134" s="277"/>
      <c r="D134" s="112"/>
      <c r="E134" s="112"/>
      <c r="F134" s="112"/>
      <c r="G134" s="112"/>
      <c r="H134" s="112"/>
      <c r="I134" s="277"/>
      <c r="J134" s="112"/>
      <c r="K134" s="112"/>
      <c r="L134" s="112"/>
      <c r="M134" s="112"/>
      <c r="N134" s="112"/>
      <c r="O134" s="112"/>
    </row>
    <row r="135" spans="1:15" ht="21.75">
      <c r="A135" s="112"/>
      <c r="B135" s="112"/>
      <c r="C135" s="277"/>
      <c r="D135" s="112"/>
      <c r="E135" s="112"/>
      <c r="F135" s="112"/>
      <c r="G135" s="112"/>
      <c r="H135" s="112"/>
      <c r="I135" s="277"/>
      <c r="J135" s="112"/>
      <c r="K135" s="112"/>
      <c r="L135" s="112"/>
      <c r="M135" s="112"/>
      <c r="N135" s="112"/>
      <c r="O135" s="112"/>
    </row>
    <row r="136" spans="1:15" ht="21.75">
      <c r="A136" s="112"/>
      <c r="B136" s="112"/>
      <c r="C136" s="277"/>
      <c r="D136" s="112"/>
      <c r="E136" s="112"/>
      <c r="F136" s="112"/>
      <c r="G136" s="112"/>
      <c r="H136" s="112"/>
      <c r="I136" s="277"/>
      <c r="J136" s="112"/>
      <c r="K136" s="112"/>
      <c r="L136" s="112"/>
      <c r="M136" s="112"/>
      <c r="N136" s="112"/>
      <c r="O136" s="112"/>
    </row>
    <row r="137" spans="1:15" ht="21.75">
      <c r="A137" s="112"/>
      <c r="B137" s="112"/>
      <c r="C137" s="277"/>
      <c r="D137" s="112"/>
      <c r="E137" s="112"/>
      <c r="F137" s="112"/>
      <c r="G137" s="112"/>
      <c r="H137" s="112"/>
      <c r="I137" s="277"/>
      <c r="J137" s="112"/>
      <c r="K137" s="112"/>
      <c r="L137" s="112"/>
      <c r="M137" s="112"/>
      <c r="N137" s="112"/>
      <c r="O137" s="112"/>
    </row>
    <row r="138" spans="1:15" ht="21.75">
      <c r="A138" s="112"/>
      <c r="B138" s="112"/>
      <c r="C138" s="277"/>
      <c r="D138" s="112"/>
      <c r="E138" s="112"/>
      <c r="F138" s="112"/>
      <c r="G138" s="112"/>
      <c r="H138" s="112"/>
      <c r="I138" s="277"/>
      <c r="J138" s="112"/>
      <c r="K138" s="112"/>
      <c r="L138" s="112"/>
      <c r="M138" s="112"/>
      <c r="N138" s="112"/>
      <c r="O138" s="112"/>
    </row>
    <row r="139" spans="3:9" ht="21.75">
      <c r="C139" s="266"/>
      <c r="I139" s="266"/>
    </row>
    <row r="140" ht="21.75">
      <c r="C140" s="266"/>
    </row>
    <row r="141" ht="21.75">
      <c r="C141" s="266"/>
    </row>
  </sheetData>
  <sheetProtection/>
  <mergeCells count="34">
    <mergeCell ref="A44:H44"/>
    <mergeCell ref="A82:H82"/>
    <mergeCell ref="G45:G46"/>
    <mergeCell ref="H45:H46"/>
    <mergeCell ref="A45:B46"/>
    <mergeCell ref="D45:D46"/>
    <mergeCell ref="E45:E46"/>
    <mergeCell ref="F45:F46"/>
    <mergeCell ref="A83:H83"/>
    <mergeCell ref="A84:H84"/>
    <mergeCell ref="A85:B86"/>
    <mergeCell ref="D85:D86"/>
    <mergeCell ref="E85:E86"/>
    <mergeCell ref="F85:F86"/>
    <mergeCell ref="G85:G86"/>
    <mergeCell ref="H85:H86"/>
    <mergeCell ref="A2:H2"/>
    <mergeCell ref="A3:H3"/>
    <mergeCell ref="A4:H4"/>
    <mergeCell ref="A5:B6"/>
    <mergeCell ref="D5:D6"/>
    <mergeCell ref="E5:E6"/>
    <mergeCell ref="F5:F6"/>
    <mergeCell ref="G5:G6"/>
    <mergeCell ref="H5:H6"/>
    <mergeCell ref="J2:Q2"/>
    <mergeCell ref="J3:Q3"/>
    <mergeCell ref="J4:Q4"/>
    <mergeCell ref="J5:K6"/>
    <mergeCell ref="M5:M6"/>
    <mergeCell ref="N5:N6"/>
    <mergeCell ref="O5:O6"/>
    <mergeCell ref="P5:P6"/>
    <mergeCell ref="Q5:Q6"/>
  </mergeCells>
  <printOptions/>
  <pageMargins left="0.45" right="0.17" top="0.54" bottom="0.49" header="0.24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J7" sqref="J7"/>
    </sheetView>
  </sheetViews>
  <sheetFormatPr defaultColWidth="9.140625" defaultRowHeight="21.75"/>
  <cols>
    <col min="2" max="2" width="8.28125" style="0" customWidth="1"/>
    <col min="3" max="3" width="9.7109375" style="0" customWidth="1"/>
    <col min="4" max="4" width="14.140625" style="0" customWidth="1"/>
    <col min="5" max="5" width="27.00390625" style="0" customWidth="1"/>
    <col min="6" max="6" width="19.7109375" style="0" customWidth="1"/>
  </cols>
  <sheetData>
    <row r="1" spans="1:8" ht="21.75">
      <c r="A1" s="812" t="s">
        <v>965</v>
      </c>
      <c r="B1" s="812"/>
      <c r="C1" s="812"/>
      <c r="D1" s="812"/>
      <c r="E1" s="812"/>
      <c r="F1" s="812"/>
      <c r="G1" s="453"/>
      <c r="H1" s="453"/>
    </row>
    <row r="2" spans="1:6" ht="23.25">
      <c r="A2" s="846" t="s">
        <v>867</v>
      </c>
      <c r="B2" s="846"/>
      <c r="C2" s="846"/>
      <c r="D2" s="846"/>
      <c r="E2" s="846"/>
      <c r="F2" s="846"/>
    </row>
    <row r="3" spans="1:6" ht="23.25">
      <c r="A3" s="846" t="s">
        <v>1061</v>
      </c>
      <c r="B3" s="846"/>
      <c r="C3" s="846"/>
      <c r="D3" s="846"/>
      <c r="E3" s="846"/>
      <c r="F3" s="846"/>
    </row>
    <row r="5" spans="1:5" ht="21.75">
      <c r="A5" s="229" t="s">
        <v>868</v>
      </c>
      <c r="B5" s="229"/>
      <c r="C5" s="229"/>
      <c r="D5" s="229"/>
      <c r="E5" s="229"/>
    </row>
    <row r="6" spans="1:5" ht="21.75">
      <c r="A6" s="229"/>
      <c r="B6" s="229"/>
      <c r="C6" s="229"/>
      <c r="D6" s="229"/>
      <c r="E6" s="229"/>
    </row>
    <row r="7" spans="5:6" ht="21.75">
      <c r="E7" s="2"/>
      <c r="F7" s="73"/>
    </row>
    <row r="8" ht="21.75">
      <c r="B8" t="s">
        <v>869</v>
      </c>
    </row>
    <row r="9" ht="21.75">
      <c r="B9" t="s">
        <v>875</v>
      </c>
    </row>
    <row r="10" spans="2:6" ht="21.75">
      <c r="B10" s="2"/>
      <c r="C10" s="230" t="s">
        <v>877</v>
      </c>
      <c r="D10" s="2" t="s">
        <v>878</v>
      </c>
      <c r="E10" s="73"/>
      <c r="F10" s="71">
        <v>172515</v>
      </c>
    </row>
    <row r="11" spans="2:6" ht="21.75">
      <c r="B11" s="2"/>
      <c r="C11" s="230" t="s">
        <v>876</v>
      </c>
      <c r="D11" s="2" t="s">
        <v>879</v>
      </c>
      <c r="E11" s="73"/>
      <c r="F11" s="71">
        <v>9489469.26</v>
      </c>
    </row>
    <row r="12" spans="2:6" ht="21.75">
      <c r="B12" s="2"/>
      <c r="C12" s="230"/>
      <c r="D12" s="2" t="s">
        <v>880</v>
      </c>
      <c r="E12" s="73"/>
      <c r="F12" s="71">
        <v>1829824.64</v>
      </c>
    </row>
    <row r="13" spans="2:6" ht="21.75">
      <c r="B13" s="2"/>
      <c r="C13" s="230" t="s">
        <v>881</v>
      </c>
      <c r="D13" s="2" t="s">
        <v>149</v>
      </c>
      <c r="E13" s="73"/>
      <c r="F13" s="71">
        <v>13418092.16</v>
      </c>
    </row>
    <row r="14" spans="2:6" ht="21.75">
      <c r="B14" s="2"/>
      <c r="C14" s="2"/>
      <c r="D14" s="2"/>
      <c r="E14" s="73"/>
      <c r="F14" s="71"/>
    </row>
    <row r="15" ht="22.5" thickBot="1">
      <c r="F15" s="177">
        <f>SUM(F10:F14)</f>
        <v>24909901.060000002</v>
      </c>
    </row>
    <row r="16" ht="22.5" thickTop="1">
      <c r="F16" s="175"/>
    </row>
    <row r="19" spans="2:5" ht="21.75">
      <c r="B19" s="2"/>
      <c r="C19" s="2"/>
      <c r="D19" s="2"/>
      <c r="E19" s="73"/>
    </row>
    <row r="20" spans="1:7" ht="22.5">
      <c r="A20" s="136" t="s">
        <v>151</v>
      </c>
      <c r="B20" s="138"/>
      <c r="C20" s="143"/>
      <c r="D20" s="277"/>
      <c r="E20" s="427"/>
      <c r="F20" s="278"/>
      <c r="G20" s="278"/>
    </row>
    <row r="21" spans="1:7" ht="22.5">
      <c r="A21" s="136" t="s">
        <v>150</v>
      </c>
      <c r="B21" s="138"/>
      <c r="C21" s="244"/>
      <c r="D21" s="3"/>
      <c r="E21" s="3"/>
      <c r="F21" s="3"/>
      <c r="G21" s="3"/>
    </row>
    <row r="22" spans="1:7" ht="22.5">
      <c r="A22" s="3"/>
      <c r="B22" s="3"/>
      <c r="C22" s="11"/>
      <c r="D22" s="3"/>
      <c r="E22" s="3"/>
      <c r="F22" s="3"/>
      <c r="G22" s="3"/>
    </row>
    <row r="23" spans="2:5" ht="21.75">
      <c r="B23" s="2"/>
      <c r="C23" s="2"/>
      <c r="D23" s="2"/>
      <c r="E23" s="73"/>
    </row>
  </sheetData>
  <sheetProtection/>
  <mergeCells count="3">
    <mergeCell ref="A2:F2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G10" sqref="G10"/>
    </sheetView>
  </sheetViews>
  <sheetFormatPr defaultColWidth="9.140625" defaultRowHeight="21.75"/>
  <cols>
    <col min="2" max="2" width="11.00390625" style="0" customWidth="1"/>
    <col min="3" max="3" width="12.28125" style="0" customWidth="1"/>
    <col min="4" max="4" width="24.7109375" style="0" customWidth="1"/>
    <col min="5" max="5" width="24.421875" style="0" customWidth="1"/>
    <col min="9" max="9" width="14.140625" style="0" customWidth="1"/>
  </cols>
  <sheetData>
    <row r="1" spans="1:5" ht="21.75">
      <c r="A1" s="847" t="s">
        <v>882</v>
      </c>
      <c r="B1" s="847"/>
      <c r="C1" s="847"/>
      <c r="D1" s="847"/>
      <c r="E1" s="847"/>
    </row>
    <row r="2" spans="1:5" ht="21.75">
      <c r="A2" s="848" t="s">
        <v>1062</v>
      </c>
      <c r="B2" s="848"/>
      <c r="C2" s="848"/>
      <c r="D2" s="848"/>
      <c r="E2" s="848"/>
    </row>
    <row r="3" spans="2:9" ht="21.75">
      <c r="B3" s="229" t="s">
        <v>823</v>
      </c>
      <c r="C3" s="229" t="s">
        <v>870</v>
      </c>
      <c r="D3" s="229"/>
      <c r="G3" s="112"/>
      <c r="H3" s="112"/>
      <c r="I3" s="112"/>
    </row>
    <row r="4" spans="3:9" ht="23.25">
      <c r="C4" s="116"/>
      <c r="D4" s="77"/>
      <c r="E4" s="77"/>
      <c r="F4" s="77"/>
      <c r="G4" s="116"/>
      <c r="H4" s="116"/>
      <c r="I4" s="116"/>
    </row>
    <row r="5" spans="3:9" ht="23.25">
      <c r="C5" s="2" t="s">
        <v>826</v>
      </c>
      <c r="D5" s="117"/>
      <c r="E5" s="227">
        <v>6765.15</v>
      </c>
      <c r="F5" s="71"/>
      <c r="G5" s="121"/>
      <c r="H5" s="121"/>
      <c r="I5" s="121"/>
    </row>
    <row r="6" spans="3:9" ht="23.25">
      <c r="C6" s="2" t="s">
        <v>827</v>
      </c>
      <c r="D6" s="117"/>
      <c r="E6" s="227">
        <v>0.84</v>
      </c>
      <c r="F6" s="71"/>
      <c r="G6" s="121"/>
      <c r="H6" s="121"/>
      <c r="I6" s="121"/>
    </row>
    <row r="7" spans="3:9" ht="23.25">
      <c r="C7" s="2" t="s">
        <v>828</v>
      </c>
      <c r="D7" s="117"/>
      <c r="E7" s="227">
        <v>227.58</v>
      </c>
      <c r="F7" s="71"/>
      <c r="G7" s="121"/>
      <c r="H7" s="121"/>
      <c r="I7" s="121"/>
    </row>
    <row r="8" spans="3:9" ht="23.25">
      <c r="C8" s="2" t="s">
        <v>829</v>
      </c>
      <c r="D8" s="117"/>
      <c r="E8" s="227">
        <v>95564</v>
      </c>
      <c r="F8" s="71"/>
      <c r="G8" s="121"/>
      <c r="H8" s="121"/>
      <c r="I8" s="121"/>
    </row>
    <row r="9" spans="3:9" ht="23.25">
      <c r="C9" s="2" t="s">
        <v>1249</v>
      </c>
      <c r="D9" s="117"/>
      <c r="E9" s="227">
        <v>82</v>
      </c>
      <c r="F9" s="74"/>
      <c r="G9" s="121"/>
      <c r="H9" s="121"/>
      <c r="I9" s="121"/>
    </row>
    <row r="10" spans="3:9" ht="23.25">
      <c r="C10" s="2" t="s">
        <v>214</v>
      </c>
      <c r="D10" s="117"/>
      <c r="E10" s="227">
        <v>72418.87</v>
      </c>
      <c r="F10" s="74"/>
      <c r="G10" s="121"/>
      <c r="H10" s="121"/>
      <c r="I10" s="121"/>
    </row>
    <row r="11" spans="3:9" ht="23.25">
      <c r="C11" s="2"/>
      <c r="D11" s="117"/>
      <c r="E11" s="227"/>
      <c r="F11" s="74"/>
      <c r="G11" s="121"/>
      <c r="H11" s="121"/>
      <c r="I11" s="121"/>
    </row>
    <row r="12" spans="3:9" ht="24" thickBot="1">
      <c r="C12" s="118" t="s">
        <v>1142</v>
      </c>
      <c r="D12" s="118"/>
      <c r="E12" s="231">
        <f>SUM(E5:E11)</f>
        <v>175058.44</v>
      </c>
      <c r="F12" s="119"/>
      <c r="G12" s="120"/>
      <c r="H12" s="120"/>
      <c r="I12" s="120"/>
    </row>
    <row r="13" ht="22.5" thickTop="1"/>
    <row r="15" ht="21.75">
      <c r="B15" t="s">
        <v>872</v>
      </c>
    </row>
    <row r="16" spans="3:5" ht="21.75">
      <c r="C16" t="s">
        <v>608</v>
      </c>
      <c r="E16" s="110">
        <v>772500</v>
      </c>
    </row>
    <row r="17" spans="3:5" ht="21.75">
      <c r="C17" t="s">
        <v>215</v>
      </c>
      <c r="E17" s="110">
        <v>7800</v>
      </c>
    </row>
    <row r="19" spans="3:5" ht="22.5" thickBot="1">
      <c r="C19" t="s">
        <v>1142</v>
      </c>
      <c r="E19" s="232">
        <f>SUM(E16:E18)</f>
        <v>780300</v>
      </c>
    </row>
    <row r="20" ht="22.5" thickTop="1"/>
    <row r="23" spans="1:6" ht="22.5">
      <c r="A23" s="136" t="s">
        <v>152</v>
      </c>
      <c r="B23" s="138"/>
      <c r="C23" s="143"/>
      <c r="D23" s="277"/>
      <c r="E23" s="427"/>
      <c r="F23" s="278"/>
    </row>
    <row r="24" spans="1:6" ht="22.5">
      <c r="A24" s="136" t="s">
        <v>362</v>
      </c>
      <c r="B24" s="138"/>
      <c r="C24" s="244"/>
      <c r="D24" s="3"/>
      <c r="E24" s="3"/>
      <c r="F24" s="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1" sqref="F21"/>
    </sheetView>
  </sheetViews>
  <sheetFormatPr defaultColWidth="9.140625" defaultRowHeight="21.75"/>
  <cols>
    <col min="1" max="1" width="44.8515625" style="0" customWidth="1"/>
    <col min="2" max="2" width="15.140625" style="0" customWidth="1"/>
    <col min="3" max="3" width="15.7109375" style="0" customWidth="1"/>
    <col min="4" max="4" width="19.00390625" style="0" customWidth="1"/>
    <col min="5" max="5" width="20.421875" style="0" customWidth="1"/>
    <col min="6" max="6" width="20.28125" style="0" customWidth="1"/>
  </cols>
  <sheetData>
    <row r="1" ht="21.75">
      <c r="F1" s="741" t="s">
        <v>884</v>
      </c>
    </row>
    <row r="2" spans="1:6" ht="21.75">
      <c r="A2" s="849" t="s">
        <v>1169</v>
      </c>
      <c r="B2" s="849"/>
      <c r="C2" s="849"/>
      <c r="D2" s="849"/>
      <c r="E2" s="849"/>
      <c r="F2" s="849"/>
    </row>
    <row r="3" spans="1:6" ht="21.75">
      <c r="A3" s="849" t="s">
        <v>253</v>
      </c>
      <c r="B3" s="849"/>
      <c r="C3" s="849"/>
      <c r="D3" s="849"/>
      <c r="E3" s="849"/>
      <c r="F3" s="849"/>
    </row>
    <row r="4" spans="1:6" ht="21.75">
      <c r="A4" s="849" t="s">
        <v>216</v>
      </c>
      <c r="B4" s="849"/>
      <c r="C4" s="849"/>
      <c r="D4" s="849"/>
      <c r="E4" s="849"/>
      <c r="F4" s="849"/>
    </row>
    <row r="6" spans="1:6" ht="21.75">
      <c r="A6" s="178" t="s">
        <v>854</v>
      </c>
      <c r="B6" s="850" t="s">
        <v>1154</v>
      </c>
      <c r="C6" s="851"/>
      <c r="D6" s="167" t="s">
        <v>856</v>
      </c>
      <c r="E6" s="167" t="s">
        <v>825</v>
      </c>
      <c r="F6" s="167" t="s">
        <v>1176</v>
      </c>
    </row>
    <row r="7" spans="1:6" ht="21.75">
      <c r="A7" s="168"/>
      <c r="B7" s="179" t="s">
        <v>855</v>
      </c>
      <c r="C7" s="179" t="s">
        <v>873</v>
      </c>
      <c r="D7" s="168"/>
      <c r="E7" s="168"/>
      <c r="F7" s="168"/>
    </row>
    <row r="8" spans="1:6" ht="21.75">
      <c r="A8" s="173"/>
      <c r="B8" s="170"/>
      <c r="C8" s="170"/>
      <c r="D8" s="170"/>
      <c r="E8" s="170"/>
      <c r="F8" s="170"/>
    </row>
    <row r="9" spans="1:6" ht="21.75">
      <c r="A9" s="173" t="s">
        <v>218</v>
      </c>
      <c r="B9" s="172"/>
      <c r="C9" s="172">
        <v>12641</v>
      </c>
      <c r="D9" s="172"/>
      <c r="E9" s="172">
        <v>12641</v>
      </c>
      <c r="F9" s="170"/>
    </row>
    <row r="10" spans="1:6" ht="21.75">
      <c r="A10" s="171"/>
      <c r="B10" s="172"/>
      <c r="C10" s="172"/>
      <c r="D10" s="172"/>
      <c r="E10" s="172"/>
      <c r="F10" s="170"/>
    </row>
    <row r="11" spans="1:6" ht="21.75">
      <c r="A11" s="171"/>
      <c r="B11" s="172"/>
      <c r="C11" s="172"/>
      <c r="D11" s="172"/>
      <c r="E11" s="172"/>
      <c r="F11" s="170"/>
    </row>
    <row r="12" spans="1:6" ht="21.75">
      <c r="A12" s="458"/>
      <c r="B12" s="172"/>
      <c r="C12" s="172"/>
      <c r="D12" s="172"/>
      <c r="E12" s="172"/>
      <c r="F12" s="170"/>
    </row>
    <row r="13" spans="1:6" ht="21.75">
      <c r="A13" s="233" t="s">
        <v>1148</v>
      </c>
      <c r="B13" s="172"/>
      <c r="C13" s="172"/>
      <c r="D13" s="172"/>
      <c r="E13" s="172"/>
      <c r="F13" s="172"/>
    </row>
    <row r="14" spans="1:6" ht="21.75">
      <c r="A14" s="458" t="s">
        <v>217</v>
      </c>
      <c r="B14" s="172">
        <v>224000</v>
      </c>
      <c r="C14" s="172"/>
      <c r="D14" s="172"/>
      <c r="E14" s="172">
        <v>224000</v>
      </c>
      <c r="F14" s="170"/>
    </row>
    <row r="15" spans="1:6" ht="21.75">
      <c r="A15" s="170"/>
      <c r="B15" s="172"/>
      <c r="C15" s="172"/>
      <c r="D15" s="172"/>
      <c r="E15" s="172"/>
      <c r="F15" s="170"/>
    </row>
    <row r="16" spans="1:6" ht="21.75">
      <c r="A16" s="170"/>
      <c r="B16" s="172"/>
      <c r="C16" s="172"/>
      <c r="D16" s="172"/>
      <c r="E16" s="172"/>
      <c r="F16" s="170"/>
    </row>
    <row r="17" spans="1:6" ht="21.75">
      <c r="A17" s="170"/>
      <c r="B17" s="172"/>
      <c r="C17" s="172"/>
      <c r="D17" s="172"/>
      <c r="E17" s="172"/>
      <c r="F17" s="170"/>
    </row>
    <row r="18" spans="1:6" ht="21.75">
      <c r="A18" s="170"/>
      <c r="B18" s="172"/>
      <c r="C18" s="172"/>
      <c r="D18" s="172"/>
      <c r="E18" s="172"/>
      <c r="F18" s="170"/>
    </row>
    <row r="19" spans="1:6" ht="21.75">
      <c r="A19" s="170"/>
      <c r="B19" s="172"/>
      <c r="C19" s="172"/>
      <c r="D19" s="172"/>
      <c r="E19" s="172"/>
      <c r="F19" s="170"/>
    </row>
    <row r="20" spans="1:6" ht="21.75">
      <c r="A20" s="170" t="s">
        <v>1142</v>
      </c>
      <c r="B20" s="172">
        <f>SUM(B9:B19)</f>
        <v>224000</v>
      </c>
      <c r="C20" s="172">
        <f>SUM(C9:C19)</f>
        <v>12641</v>
      </c>
      <c r="D20" s="172">
        <f>SUM(D9:D19)</f>
        <v>0</v>
      </c>
      <c r="E20" s="172">
        <f>SUM(E9:E19)</f>
        <v>236641</v>
      </c>
      <c r="F20" s="170"/>
    </row>
    <row r="21" spans="1:6" ht="21.75">
      <c r="A21" s="112"/>
      <c r="B21" s="111"/>
      <c r="C21" s="111"/>
      <c r="D21" s="111"/>
      <c r="E21" s="111"/>
      <c r="F21" s="112"/>
    </row>
    <row r="23" spans="1:6" ht="22.5">
      <c r="A23" s="136" t="s">
        <v>479</v>
      </c>
      <c r="B23" s="138"/>
      <c r="C23" s="143"/>
      <c r="D23" s="277"/>
      <c r="E23" s="427"/>
      <c r="F23" s="278"/>
    </row>
    <row r="24" spans="1:6" ht="22.5">
      <c r="A24" s="136" t="s">
        <v>478</v>
      </c>
      <c r="B24" s="138"/>
      <c r="C24" s="244"/>
      <c r="D24" s="3"/>
      <c r="E24" s="3"/>
      <c r="F24" s="3"/>
    </row>
  </sheetData>
  <sheetProtection/>
  <mergeCells count="4">
    <mergeCell ref="A2:F2"/>
    <mergeCell ref="A3:F3"/>
    <mergeCell ref="A4:F4"/>
    <mergeCell ref="B6:C6"/>
  </mergeCells>
  <printOptions/>
  <pageMargins left="0.87" right="0.75" top="0.51" bottom="0.59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</dc:creator>
  <cp:keywords/>
  <dc:description/>
  <cp:lastModifiedBy>LAM VU TUNG</cp:lastModifiedBy>
  <cp:lastPrinted>2012-03-19T09:12:26Z</cp:lastPrinted>
  <dcterms:created xsi:type="dcterms:W3CDTF">2000-10-31T14:19:15Z</dcterms:created>
  <dcterms:modified xsi:type="dcterms:W3CDTF">2012-04-30T03:29:13Z</dcterms:modified>
  <cp:category/>
  <cp:version/>
  <cp:contentType/>
  <cp:contentStatus/>
</cp:coreProperties>
</file>